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85" windowWidth="19440" windowHeight="6015" tabRatio="827" firstSheet="4" activeTab="4"/>
  </bookViews>
  <sheets>
    <sheet name="CONCENTRADO DEUDA ESTATAL" sheetId="1" r:id="rId1"/>
    <sheet name="CREDITOS X PAGAR DIRECTA" sheetId="2" state="hidden" r:id="rId2"/>
    <sheet name="SALDOS  DIRECTA" sheetId="3" state="hidden" r:id="rId3"/>
    <sheet name="DEUDA DIRECTA" sheetId="4" state="hidden" r:id="rId4"/>
    <sheet name="RESUMEN DEUDA DIRECTA" sheetId="5" r:id="rId5"/>
    <sheet name=" DEUDA MUNICIPIOS NO AVALADOS" sheetId="6" state="hidden" r:id="rId6"/>
    <sheet name="SALDO MPIO NO AVALADO" sheetId="7" state="hidden" r:id="rId7"/>
    <sheet name="RESUMEN MPIO NO AVALADO" sheetId="8" state="hidden" r:id="rId8"/>
    <sheet name="ENDEUDAMIENTO MUNICIPIOS  2015" sheetId="9" state="hidden" r:id="rId9"/>
    <sheet name="FIDEICOMISOS MUNICIPIOS" sheetId="10" state="hidden" r:id="rId10"/>
    <sheet name="RELACION DE DEUDA DE ORGANISMOS" sheetId="11" state="hidden" r:id="rId11"/>
    <sheet name="SALDOS ORGANISMOS" sheetId="12" state="hidden" r:id="rId12"/>
    <sheet name="PAGOS OOMAPAS" sheetId="13" state="hidden" r:id="rId13"/>
  </sheets>
  <externalReferences>
    <externalReference r:id="rId16"/>
  </externalReferences>
  <definedNames>
    <definedName name="_xlnm.Print_Area" localSheetId="5">' DEUDA MUNICIPIOS NO AVALADOS'!$A$1:$F$196</definedName>
    <definedName name="_xlnm.Print_Area" localSheetId="0">'CONCENTRADO DEUDA ESTATAL'!$A$1:$B$14</definedName>
    <definedName name="_xlnm.Print_Area" localSheetId="1">'CREDITOS X PAGAR DIRECTA'!$A$1:$G$26</definedName>
    <definedName name="_xlnm.Print_Area" localSheetId="3">'DEUDA DIRECTA'!$A$1:$M$38</definedName>
    <definedName name="_xlnm.Print_Area" localSheetId="8">'ENDEUDAMIENTO MUNICIPIOS  2015'!$A$1:$D$642</definedName>
    <definedName name="_xlnm.Print_Area" localSheetId="12">'PAGOS OOMAPAS'!$A$1:$D$7</definedName>
    <definedName name="_xlnm.Print_Area" localSheetId="10">'RELACION DE DEUDA DE ORGANISMOS'!$A$1:$K$32</definedName>
    <definedName name="_xlnm.Print_Area" localSheetId="4">'RESUMEN DEUDA DIRECTA'!$A$1:$Q$73</definedName>
    <definedName name="_xlnm.Print_Area" localSheetId="7">'RESUMEN MPIO NO AVALADO'!$A$1:$H$197</definedName>
    <definedName name="_xlnm.Print_Area" localSheetId="6">'SALDO MPIO NO AVALADO'!$A$1:$E$196</definedName>
    <definedName name="_xlnm.Print_Area" localSheetId="2">'SALDOS  DIRECTA'!$A$1:$C$34</definedName>
    <definedName name="_xlnm.Print_Area" localSheetId="11">'SALDOS ORGANISMOS'!$A$1:$C$29</definedName>
    <definedName name="_xlnm.Print_Titles" localSheetId="5">' DEUDA MUNICIPIOS NO AVALADOS'!$1:$2</definedName>
    <definedName name="_xlnm.Print_Titles" localSheetId="8">'ENDEUDAMIENTO MUNICIPIOS  2015'!$1:$3</definedName>
    <definedName name="_xlnm.Print_Titles" localSheetId="12">'PAGOS OOMAPAS'!$2:$4</definedName>
    <definedName name="_xlnm.Print_Titles" localSheetId="7">'RESUMEN MPIO NO AVALADO'!$1:$3</definedName>
    <definedName name="_xlnm.Print_Titles" localSheetId="6">'SALDO MPIO NO AVALADO'!$1:$3</definedName>
    <definedName name="_xlnm.Print_Titles" localSheetId="11">'SALDOS ORGANISMOS'!$1:$2</definedName>
  </definedNames>
  <calcPr fullCalcOnLoad="1"/>
</workbook>
</file>

<file path=xl/comments4.xml><?xml version="1.0" encoding="utf-8"?>
<comments xmlns="http://schemas.openxmlformats.org/spreadsheetml/2006/main">
  <authors>
    <author>ASP.NET v4.0</author>
  </authors>
  <commentList>
    <comment ref="F13" authorId="0">
      <text>
        <r>
          <rPr>
            <sz val="8"/>
            <color indexed="8"/>
            <rFont val="Tahoma"/>
            <family val="2"/>
          </rPr>
          <t>Solo fechas con formato dd-mm-aaaa</t>
        </r>
      </text>
    </comment>
  </commentList>
</comments>
</file>

<file path=xl/sharedStrings.xml><?xml version="1.0" encoding="utf-8"?>
<sst xmlns="http://schemas.openxmlformats.org/spreadsheetml/2006/main" count="1571" uniqueCount="463">
  <si>
    <t>CREDITO</t>
  </si>
  <si>
    <t>SERVICIO DE DEUDA</t>
  </si>
  <si>
    <t>TOTAL</t>
  </si>
  <si>
    <t>FECHA DE</t>
  </si>
  <si>
    <t>ORDEN  DE PAGO</t>
  </si>
  <si>
    <t>CAPITAL</t>
  </si>
  <si>
    <t>INTERES</t>
  </si>
  <si>
    <t>VENCIMIENTO</t>
  </si>
  <si>
    <t>348 BBVA BANCOMER, S.A./ REFINANCIAMIENTO 2,241 mdp</t>
  </si>
  <si>
    <t>351 BBVA BANCOMER $350,000,000.00</t>
  </si>
  <si>
    <t>368 SCOTIABANK INVERLAT/REFINANCIAMIENTO 450 mdp</t>
  </si>
  <si>
    <t>369 SCOTIABANK INVERLAT $300,000,000.00</t>
  </si>
  <si>
    <t>D001 BANORTE / CRÉDITO SIMPLE $4,419 MDP</t>
  </si>
  <si>
    <t>BANORTE / CREDITO SIMPLE $650 MDP</t>
  </si>
  <si>
    <t>Bancomer 325 mdp 2014 LP</t>
  </si>
  <si>
    <t>Bancomer 300 mdp 2014 LP</t>
  </si>
  <si>
    <t>Bancomer 321 mdp 2014 LP</t>
  </si>
  <si>
    <t>Bancomer 62.5 mdp 2015 LP</t>
  </si>
  <si>
    <t>Bancomer 750 mdp 2015 LP</t>
  </si>
  <si>
    <t>GRAN TOTAL</t>
  </si>
  <si>
    <t xml:space="preserve">       </t>
  </si>
  <si>
    <t>CRÉDITO</t>
  </si>
  <si>
    <t>$</t>
  </si>
  <si>
    <t>UDIS</t>
  </si>
  <si>
    <t>BANCA COMERCIAL</t>
  </si>
  <si>
    <t>saldos next</t>
  </si>
  <si>
    <t>diferencias</t>
  </si>
  <si>
    <t>Santander 923 mdp 2014 LP</t>
  </si>
  <si>
    <t>TOTAL BANCA COMERCIAL</t>
  </si>
  <si>
    <t>BANCA DE DESARROLLO</t>
  </si>
  <si>
    <t>BANOBRAS 2,040 MDP 2014 Registro 002</t>
  </si>
  <si>
    <t>TOTAL BANCA DE DESARROLLO</t>
  </si>
  <si>
    <t>SALDO SIGUIENTE PAGINA</t>
  </si>
  <si>
    <t>DIFERENCIA</t>
  </si>
  <si>
    <t>DECRETO</t>
  </si>
  <si>
    <t>GARANTIAS OTORGADAS</t>
  </si>
  <si>
    <t>FIDEICOMISO</t>
  </si>
  <si>
    <t>TASA</t>
  </si>
  <si>
    <t>FECHA FIRMA</t>
  </si>
  <si>
    <t>FECHA ULTIMO CONVENIO MODIFICATORIO</t>
  </si>
  <si>
    <t>PLAZO</t>
  </si>
  <si>
    <t>FONDO DE RESERVA</t>
  </si>
  <si>
    <t>COMISIONES</t>
  </si>
  <si>
    <t>MONTO ORIGINAL</t>
  </si>
  <si>
    <t>PARTICIPACIONES AFECTADAS (%)</t>
  </si>
  <si>
    <t>LARGO PLAZO</t>
  </si>
  <si>
    <t>348 BBVABANCOMER, S.A./ REFINANCIAMIENTO 04</t>
  </si>
  <si>
    <t>79 del 8 de julio 2004</t>
  </si>
  <si>
    <t>MONEX F/1806</t>
  </si>
  <si>
    <t>TIIE+0.69</t>
  </si>
  <si>
    <t>No aplica</t>
  </si>
  <si>
    <t>Articulo 12, ley de ingresos 2005, publicado el 29 de diciembre 2005</t>
  </si>
  <si>
    <t>368 SCOTIABANK INVERLAT/REFINANCIAMIENTO 04 $450 MDP</t>
  </si>
  <si>
    <t>TIIE+0.55</t>
  </si>
  <si>
    <t>comision por renegociacion del 0.10% del saldo reconocido</t>
  </si>
  <si>
    <t>TIIE+0.48</t>
  </si>
  <si>
    <t>INVEX 1021</t>
  </si>
  <si>
    <t>TIIE+0.68</t>
  </si>
  <si>
    <t>TIIE + 0.98</t>
  </si>
  <si>
    <t>D045 INTERACCIONES CS 2013 1,000 MDP 365089</t>
  </si>
  <si>
    <t>25% (FAFEF)</t>
  </si>
  <si>
    <t>EVERCORE F/0146</t>
  </si>
  <si>
    <t>Decreto 93, (reestructura)</t>
  </si>
  <si>
    <t>TIIE + 0.84</t>
  </si>
  <si>
    <t>INVEX 1022</t>
  </si>
  <si>
    <t xml:space="preserve">   Bancomer 62.5 mdp 2015 LP</t>
  </si>
  <si>
    <t>TIIE + 1.16</t>
  </si>
  <si>
    <t xml:space="preserve">   Bancomer 750 mdp 2015 LP</t>
  </si>
  <si>
    <t>TIIE + 1.00</t>
  </si>
  <si>
    <t>TOTAL LARGO PLAZO</t>
  </si>
  <si>
    <t>CORTO PLAZO</t>
  </si>
  <si>
    <t>TOTAL CORTO PLAZO</t>
  </si>
  <si>
    <t xml:space="preserve">   </t>
  </si>
  <si>
    <t>MONEX 1753</t>
  </si>
  <si>
    <t>BANOBRAS 1,730 MDP 2014 Registro 001</t>
  </si>
  <si>
    <t>DEUDA DIRECTA</t>
  </si>
  <si>
    <t>MUNICIPIOS AVALADOS</t>
  </si>
  <si>
    <t>MUNICIPIOS NO AVALADOS</t>
  </si>
  <si>
    <t>ORGANISMOS</t>
  </si>
  <si>
    <t xml:space="preserve">DIFERENCIA DEUDA DIRECTA VS. TOTAL </t>
  </si>
  <si>
    <t>ACONCHI</t>
  </si>
  <si>
    <t>AGUA PRIETA</t>
  </si>
  <si>
    <t>ARIZPE</t>
  </si>
  <si>
    <t>BACANORA</t>
  </si>
  <si>
    <t>BENJAMIN HILL</t>
  </si>
  <si>
    <t>CARBO</t>
  </si>
  <si>
    <t>CUMPAS</t>
  </si>
  <si>
    <t>DIVISADEROS</t>
  </si>
  <si>
    <t>MAZATAN</t>
  </si>
  <si>
    <t>NACOZARI DE GARCIA</t>
  </si>
  <si>
    <t>PUERTO PEÑASCO</t>
  </si>
  <si>
    <t>SAHUARIPA</t>
  </si>
  <si>
    <t>SANTA ANA</t>
  </si>
  <si>
    <t>TUBUTAMA</t>
  </si>
  <si>
    <t>URES</t>
  </si>
  <si>
    <t>VALOR DE LA UDI</t>
  </si>
  <si>
    <t>FECHA</t>
  </si>
  <si>
    <t>SALDO AL</t>
  </si>
  <si>
    <t xml:space="preserve">  </t>
  </si>
  <si>
    <t xml:space="preserve">SERVICIO </t>
  </si>
  <si>
    <t>DE DEUDA</t>
  </si>
  <si>
    <t>GASTOS ADICIONALES DEL PERIODO</t>
  </si>
  <si>
    <t>FFRES-0019-11  3MDP</t>
  </si>
  <si>
    <t>NADBANK COFIDAN 08-75/03</t>
  </si>
  <si>
    <t>INTERACCIONES 70.1 MDP 2013 379849</t>
  </si>
  <si>
    <t>OOMAPAS AGUA PRIETA</t>
  </si>
  <si>
    <t>FFRES-0014-11 7 MDP</t>
  </si>
  <si>
    <t>FFRES-0009-08</t>
  </si>
  <si>
    <t>ALAMOS</t>
  </si>
  <si>
    <t>FFRES 0033-11</t>
  </si>
  <si>
    <t>FFRES-015-11  3MDP</t>
  </si>
  <si>
    <t xml:space="preserve">FFRES-0026-11 </t>
  </si>
  <si>
    <t>FFRES 0024-11 2MDP</t>
  </si>
  <si>
    <t>BACERAC</t>
  </si>
  <si>
    <t>FFRES-0023-11</t>
  </si>
  <si>
    <t>BACUM</t>
  </si>
  <si>
    <t>FFRES-0011-08</t>
  </si>
  <si>
    <t>INTERACCIONES 7.9 MDP 2015 330025099</t>
  </si>
  <si>
    <t>BENITO JUAREZ</t>
  </si>
  <si>
    <t>375 BANOBRAS / BENITO JUAREZ 8815</t>
  </si>
  <si>
    <t>CABORCA</t>
  </si>
  <si>
    <t>397 BANOBRAS / CABORCA C.S. 9119</t>
  </si>
  <si>
    <t>INTERACCIONES 372001 45 MDP</t>
  </si>
  <si>
    <t xml:space="preserve"> </t>
  </si>
  <si>
    <t>CAJEME</t>
  </si>
  <si>
    <t>INTERACCIONES 381482 208 MDP</t>
  </si>
  <si>
    <t>BBVA BANCOMER         323 MDP</t>
  </si>
  <si>
    <t>OOMAPAS CAJEME</t>
  </si>
  <si>
    <t>FFRES-0004-07 46.5 MDP</t>
  </si>
  <si>
    <t>FFRES-0008-08 46.7 MDP</t>
  </si>
  <si>
    <t>FFRES 0052-14 CARBO 3 MDP</t>
  </si>
  <si>
    <t>CANANEA</t>
  </si>
  <si>
    <t>331 BANOBRAS/CANANEA C.S. 6370</t>
  </si>
  <si>
    <t>M011 BANOBRAS/CANANEA C.S 9924</t>
  </si>
  <si>
    <t>FFRES 0044-13 6MDP</t>
  </si>
  <si>
    <t>FFRES 0045-13 6.5 MDP</t>
  </si>
  <si>
    <t>EMPALME</t>
  </si>
  <si>
    <t>ETCHOJOA</t>
  </si>
  <si>
    <t>364 BANOBRAS/ETCHOJOA 7192</t>
  </si>
  <si>
    <t>FRONTERAS</t>
  </si>
  <si>
    <t>360 BANOBRAS/FRONTERAS 7229</t>
  </si>
  <si>
    <t>GENERAL PLUTARCO ELIAS CALLES</t>
  </si>
  <si>
    <t>BANSI 8.6 mdp 2014</t>
  </si>
  <si>
    <t>GUAYMAS</t>
  </si>
  <si>
    <t>BANORTE</t>
  </si>
  <si>
    <t>FFRES-0007-08</t>
  </si>
  <si>
    <t>FFRES-0012-09</t>
  </si>
  <si>
    <t>BANSI 315 MDP 2013</t>
  </si>
  <si>
    <t>DIA 24 DE CADA MES</t>
  </si>
  <si>
    <t>HERMOSILLO</t>
  </si>
  <si>
    <t>COFIDAN SN6570 230 mdp</t>
  </si>
  <si>
    <t>BANSI 529 mdp 2013</t>
  </si>
  <si>
    <t>COFIDAN SN6260 242.6 MDP</t>
  </si>
  <si>
    <t>primer pago capital hasta 24/5/2015</t>
  </si>
  <si>
    <t>AGUA DE HERMOSILLO</t>
  </si>
  <si>
    <t>FFRES-0003-06</t>
  </si>
  <si>
    <t>BANSI 330 mdp 2014</t>
  </si>
  <si>
    <t>HUATABAMPO</t>
  </si>
  <si>
    <t>BANOBRAS 11129 68 MDP</t>
  </si>
  <si>
    <t>IMURIS</t>
  </si>
  <si>
    <t>FFRES 0038-13</t>
  </si>
  <si>
    <t>MAGDALENA</t>
  </si>
  <si>
    <t>FFRES-0037-13</t>
  </si>
  <si>
    <t>FFRES 0048-13</t>
  </si>
  <si>
    <t>NACO</t>
  </si>
  <si>
    <t>NADBANK COFIDAN 02-01/99 (UDI)</t>
  </si>
  <si>
    <t>NADBANK  5.5 MDP COFIDAN SN6580</t>
  </si>
  <si>
    <t>FFRES-0025-11</t>
  </si>
  <si>
    <t>FFRES 0040-13 7 mdp</t>
  </si>
  <si>
    <t>NAVOJOA</t>
  </si>
  <si>
    <t>INTERACCIONES 149 MDP 379060</t>
  </si>
  <si>
    <t>OOMAPAS NOGALES</t>
  </si>
  <si>
    <t>NADBANK 100 MDP COFIDAN SN0404</t>
  </si>
  <si>
    <t>NADBANK 40 MDP COFIDAN SN6180</t>
  </si>
  <si>
    <t>NOGALES</t>
  </si>
  <si>
    <t>FFRES-0017-11 10 MDP</t>
  </si>
  <si>
    <t>ONAVAS</t>
  </si>
  <si>
    <t>FFRES 0031-11</t>
  </si>
  <si>
    <t>FFRES 0055-14</t>
  </si>
  <si>
    <t>OQUITOA</t>
  </si>
  <si>
    <t>FFRES 0032-11</t>
  </si>
  <si>
    <t xml:space="preserve">FFRES0001-06                                              </t>
  </si>
  <si>
    <t>RAYON</t>
  </si>
  <si>
    <t xml:space="preserve">FFRES-0022-11 </t>
  </si>
  <si>
    <t>SAN LUIS RIO COLORADO</t>
  </si>
  <si>
    <t>NADBANK 112.5 MDP, COFIDAN SN6270</t>
  </si>
  <si>
    <t>gracia capital hasta nov 2015</t>
  </si>
  <si>
    <t>OOMAPAS S.L.R.C.</t>
  </si>
  <si>
    <t>NADBANK 82 MDP COFIDAN 13-43/04</t>
  </si>
  <si>
    <t>NADBANK 16 MDP COFIDAN SN0607</t>
  </si>
  <si>
    <t>SAN FELIPE DE JESUS</t>
  </si>
  <si>
    <t>FFRES 0047-13 2.5 MDP</t>
  </si>
  <si>
    <t>FFRES-0010-08</t>
  </si>
  <si>
    <t>FFRES-0013-11</t>
  </si>
  <si>
    <t>FFRES 0027-11</t>
  </si>
  <si>
    <t>FFRES 0050-14</t>
  </si>
  <si>
    <t>SUAQUI GRANDE</t>
  </si>
  <si>
    <t>FFRES 0056-14</t>
  </si>
  <si>
    <t>FFRES-0020-11</t>
  </si>
  <si>
    <t>FFRES 0035-12</t>
  </si>
  <si>
    <t>VILLA PESQUEIRA</t>
  </si>
  <si>
    <t>FFRES 0029-11</t>
  </si>
  <si>
    <t>YECORA</t>
  </si>
  <si>
    <t>FFRES 0057-14</t>
  </si>
  <si>
    <t>FECHA 
VENCIMIENTO</t>
  </si>
  <si>
    <t>FONDO 
RESERVAS</t>
  </si>
  <si>
    <t>TIIE</t>
  </si>
  <si>
    <t>TIIE+ 6</t>
  </si>
  <si>
    <t>TIIE + 2.66</t>
  </si>
  <si>
    <t>TIIE + 6.0</t>
  </si>
  <si>
    <t>DIF. .03 MENOS QUE EL FFRES</t>
  </si>
  <si>
    <t>BANOBRAS / BACUM C.S. 5,3 MDP (10519)</t>
  </si>
  <si>
    <t>TIIE + 3</t>
  </si>
  <si>
    <t>24/062024</t>
  </si>
  <si>
    <t>TIIE + 2,75</t>
  </si>
  <si>
    <t>TIIE + 7</t>
  </si>
  <si>
    <t>TIIE + 3.53</t>
  </si>
  <si>
    <t>TIIE + 3,27</t>
  </si>
  <si>
    <t>TIIE+2.93</t>
  </si>
  <si>
    <t>TIIE + 3,41</t>
  </si>
  <si>
    <t>TIIE + 5</t>
  </si>
  <si>
    <t>TIIE + 2.03</t>
  </si>
  <si>
    <t>BBVA BANCOMER            323 MDP</t>
  </si>
  <si>
    <t>TIIE + 1</t>
  </si>
  <si>
    <t xml:space="preserve">CANANEA </t>
  </si>
  <si>
    <t>331 BANOBRAS CANANEA 6370</t>
  </si>
  <si>
    <t>TIIE x 1.223</t>
  </si>
  <si>
    <t>TIIE + 3,02</t>
  </si>
  <si>
    <t>TIIE + 3,21</t>
  </si>
  <si>
    <t>TIIE + 1.73</t>
  </si>
  <si>
    <t>TIIE + 2.33</t>
  </si>
  <si>
    <t>TIIE + 6%</t>
  </si>
  <si>
    <t>TIIE+0.50</t>
  </si>
  <si>
    <t>TIIE + 3.15</t>
  </si>
  <si>
    <t>BANSI 529 MDP 2013</t>
  </si>
  <si>
    <t>TIIE + 2.8</t>
  </si>
  <si>
    <t xml:space="preserve">TIIE 28 DIAS </t>
  </si>
  <si>
    <t>TIIE + 2.80</t>
  </si>
  <si>
    <t>TIIE + 4.02</t>
  </si>
  <si>
    <t xml:space="preserve">VALOR DE LA UDI
 </t>
  </si>
  <si>
    <t>NADBANK COFIDAN 02-01/99</t>
  </si>
  <si>
    <t>UDI</t>
  </si>
  <si>
    <t>TASA ANUAL 9.1000%</t>
  </si>
  <si>
    <t>checar saldos</t>
  </si>
  <si>
    <t>TIIE + 3,07</t>
  </si>
  <si>
    <t>TIIE + 1.48</t>
  </si>
  <si>
    <t>TASA ANUAL 6.5950%</t>
  </si>
  <si>
    <t>TASA ANUAL 9.2500%</t>
  </si>
  <si>
    <t>FFRES0001-06</t>
  </si>
  <si>
    <t>TASA FIJA 9.2900%</t>
  </si>
  <si>
    <t>TASA ANUAL 6.5853%</t>
  </si>
  <si>
    <t>TASA ANUAL 9.8500%</t>
  </si>
  <si>
    <t>FFRES 0020-11</t>
  </si>
  <si>
    <t>MUNICIPIO</t>
  </si>
  <si>
    <t>SERVICIO  DE DEUDA ANUAL</t>
  </si>
  <si>
    <t>ENDEUDAMIENTO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</si>
  <si>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</si>
  <si>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</si>
  <si>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</si>
  <si>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</si>
  <si>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</si>
  <si>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</si>
  <si>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</si>
  <si>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</si>
  <si>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</si>
  <si>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</si>
  <si>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</si>
  <si>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</si>
  <si>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</si>
  <si>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G. PLUTARCO ELIAS CALLES</t>
  </si>
  <si>
    <t>SLRC</t>
  </si>
  <si>
    <t>SAN IGNACIO RIO MUERTO</t>
  </si>
  <si>
    <t>º</t>
  </si>
  <si>
    <t>FECHA DE FIRMA</t>
  </si>
  <si>
    <t>FONDO DE</t>
  </si>
  <si>
    <t>ORDEN DE PAGO</t>
  </si>
  <si>
    <t>RESERVA</t>
  </si>
  <si>
    <t>AJUSTES</t>
  </si>
  <si>
    <t>COAPAES DIRECCION GENERAL</t>
  </si>
  <si>
    <t>TIIE+0.80</t>
  </si>
  <si>
    <t xml:space="preserve">TOTAL </t>
  </si>
  <si>
    <t>FAPES</t>
  </si>
  <si>
    <t>355 BANORTE/FONDO NUEVO SONORA REFINANCIAMIENTO</t>
  </si>
  <si>
    <t>TIIE+0.65</t>
  </si>
  <si>
    <t>FIDEICOMISO PROGRESO</t>
  </si>
  <si>
    <t>354 BANCO DEL BAJIO/FID. PROGRESO PROMOTOR URB. REFIN.</t>
  </si>
  <si>
    <t>FEMOT</t>
  </si>
  <si>
    <t>001 MIFEL CS 400 MDP</t>
  </si>
  <si>
    <t>002 MIFEL CS 200 MDP</t>
  </si>
  <si>
    <t>TELEVISIORA DE HERMOSILLO, S.A.</t>
  </si>
  <si>
    <t>INTERACCIONES 413039 $90 mdp 2015</t>
  </si>
  <si>
    <t>TIIE + 1.7</t>
  </si>
  <si>
    <t>MENOS FAPES</t>
  </si>
  <si>
    <t>DEUDA MUNICIPIOS</t>
  </si>
  <si>
    <t>TOTAL MENOS F.A.P.E.S.</t>
  </si>
  <si>
    <t>SALDOS</t>
  </si>
  <si>
    <t>TOTAL PROGRAMA</t>
  </si>
  <si>
    <t>355 BANORTE/F.A.P.E.S. REFINANCIAMIENTO</t>
  </si>
  <si>
    <t>MONTO PAGADO</t>
  </si>
  <si>
    <t>NUMERO</t>
  </si>
  <si>
    <t>FECHA DE PAGO</t>
  </si>
  <si>
    <t>OP</t>
  </si>
  <si>
    <t>OOMAPAS CAJEME CFO</t>
  </si>
  <si>
    <t>OOMAPAS CAJEME CFA</t>
  </si>
  <si>
    <t>HASTA JULIO DE 2016 SE EMPEZARA A DESCONAR CAPITAL</t>
  </si>
  <si>
    <t>TIIE + 9%</t>
  </si>
  <si>
    <t>saldo mes anterior cofidan</t>
  </si>
  <si>
    <t>saldo actual en udis</t>
  </si>
  <si>
    <t>pago mensual</t>
  </si>
  <si>
    <t>PORCENTAJE AFECTADO</t>
  </si>
  <si>
    <t>AGUAPRIETA</t>
  </si>
  <si>
    <t>Bansi 1597-8</t>
  </si>
  <si>
    <t>CI-Banco CIB 503</t>
  </si>
  <si>
    <t>Bansi 2167-6</t>
  </si>
  <si>
    <t>ACREEDOR</t>
  </si>
  <si>
    <t>BANSI</t>
  </si>
  <si>
    <t>INTERACCIONES</t>
  </si>
  <si>
    <t>JP MORGAN F/00171</t>
  </si>
  <si>
    <r>
      <t xml:space="preserve">INTERACCIONES </t>
    </r>
    <r>
      <rPr>
        <vertAlign val="superscript"/>
        <sz val="10"/>
        <rFont val="Arial"/>
        <family val="2"/>
      </rPr>
      <t>*1</t>
    </r>
  </si>
  <si>
    <t xml:space="preserve">*1 Este crédito tiene afectado unicamente el 19% de participaciones, el resto el fideicomiso lo debe regresar al Municipio despues de efectuar el pago del servicio </t>
  </si>
  <si>
    <t>de la deuda correspondiente a cada mes.</t>
  </si>
  <si>
    <t xml:space="preserve">COFIDAN </t>
  </si>
  <si>
    <t>Bajio 10343-12-53</t>
  </si>
  <si>
    <t>Bansi 1945-0</t>
  </si>
  <si>
    <t>Bajio 15107-6-261</t>
  </si>
  <si>
    <t xml:space="preserve">BANSI 2004-1  </t>
  </si>
  <si>
    <t>CIBANCO CIB/480</t>
  </si>
  <si>
    <t>ACTINVER 1238</t>
  </si>
  <si>
    <t>BANJERCITO</t>
  </si>
  <si>
    <t>1,600,000.00 MENSUALES</t>
  </si>
  <si>
    <t>COFIDAN</t>
  </si>
  <si>
    <t>INTERACCIONES 10336</t>
  </si>
  <si>
    <t>FINTEGRA</t>
  </si>
  <si>
    <t>INVEX 2180</t>
  </si>
  <si>
    <t>INVEX 2182</t>
  </si>
  <si>
    <t>OPODEPE</t>
  </si>
  <si>
    <t>BANSI 2233-8</t>
  </si>
  <si>
    <t>FINTEGRA 2391</t>
  </si>
  <si>
    <t>FINTEGRA 2438</t>
  </si>
  <si>
    <t>CIBANCO CIB/2295</t>
  </si>
  <si>
    <t>MONTO DEL CONTRATO</t>
  </si>
  <si>
    <t>NACORI CHICO</t>
  </si>
  <si>
    <t>BANSI 2235-4</t>
  </si>
  <si>
    <t>BANSI 2234-6</t>
  </si>
  <si>
    <t>Interacciones 850 mdp 2014</t>
  </si>
  <si>
    <t>BANSI 3.5MDP 2015 101000219855</t>
  </si>
  <si>
    <t>BANSI 30 MDP 101000184948</t>
  </si>
  <si>
    <t>BANSI 7 MDP 101000184964</t>
  </si>
  <si>
    <t>BANSI 70 MDP 2014 101000197029</t>
  </si>
  <si>
    <t>BANSI 56 MDP 2014 101000197032</t>
  </si>
  <si>
    <t>TIIE+6%</t>
  </si>
  <si>
    <t>BANSI 101000219884</t>
  </si>
  <si>
    <t>TIIE+6</t>
  </si>
  <si>
    <t>BANSI 101000223401</t>
  </si>
  <si>
    <t xml:space="preserve">INTERACCIONES  2014 </t>
  </si>
  <si>
    <t>OOMAPAS GENERAL PLUTARCO ELIAS CALLES</t>
  </si>
  <si>
    <t>Fintegra 30 mdp 2014</t>
  </si>
  <si>
    <t>FIJA 9.25%</t>
  </si>
  <si>
    <t>FINTEGRA 15MDP 2014</t>
  </si>
  <si>
    <t>FINTEGRA 31 MDP 2015</t>
  </si>
  <si>
    <t>FINTEGRA 13,560,000 2015</t>
  </si>
  <si>
    <t>GRACIA DE CAPITAL</t>
  </si>
  <si>
    <t>1502E60D0B6A000</t>
  </si>
  <si>
    <t>en gracia hasta nov 2016</t>
  </si>
  <si>
    <r>
      <t xml:space="preserve">NACORI CHICO </t>
    </r>
    <r>
      <rPr>
        <b/>
        <vertAlign val="subscript"/>
        <sz val="10"/>
        <rFont val="Arial"/>
        <family val="2"/>
      </rPr>
      <t>*2014</t>
    </r>
  </si>
  <si>
    <r>
      <t xml:space="preserve">OPODEPE </t>
    </r>
    <r>
      <rPr>
        <b/>
        <vertAlign val="subscript"/>
        <sz val="10"/>
        <rFont val="Arial"/>
        <family val="2"/>
      </rPr>
      <t>*2014</t>
    </r>
  </si>
  <si>
    <r>
      <t xml:space="preserve">SAN FELIPE DE JESUS </t>
    </r>
    <r>
      <rPr>
        <b/>
        <vertAlign val="subscript"/>
        <sz val="10"/>
        <rFont val="Arial"/>
        <family val="2"/>
      </rPr>
      <t>*2014</t>
    </r>
  </si>
  <si>
    <t>SERVICIO DE DEUDA MENSUAL</t>
  </si>
  <si>
    <t>M019 BANOBRAS C.S 2.5MDP 10441</t>
  </si>
  <si>
    <t>M021 BANOBRAS C.S 4.1MDP 10440</t>
  </si>
  <si>
    <t>M008 BANOBRAS .S  21 MDP 8925</t>
  </si>
  <si>
    <t>M0009 BANOBRAS C.S. 13.250 MDP 9100</t>
  </si>
  <si>
    <t>M024 BANOBRAS 10550 8,4 MDP</t>
  </si>
  <si>
    <t>M0022 BANOBRAS 7,5MDP  10584</t>
  </si>
  <si>
    <t>375 BANOBRAS 8815</t>
  </si>
  <si>
    <t>FIJA 9.1000%</t>
  </si>
  <si>
    <t>FIJA 6.5950%</t>
  </si>
  <si>
    <t>FIJA 9.2500%</t>
  </si>
  <si>
    <t>FIJA 9.2900%</t>
  </si>
  <si>
    <t>FIJA 6.5853%</t>
  </si>
  <si>
    <t>FIJA 9.8500%</t>
  </si>
  <si>
    <t xml:space="preserve">CONCENTRADO SALDOS DE DEUDA </t>
  </si>
  <si>
    <t>CONCEPTO</t>
  </si>
  <si>
    <t>Deuda Directa</t>
  </si>
  <si>
    <t>Organismos</t>
  </si>
  <si>
    <t>Municipios Avalados</t>
  </si>
  <si>
    <t>Municipios No Avalados</t>
  </si>
  <si>
    <t>INTERACCIONES CC NO. 427825 736 MDP</t>
  </si>
  <si>
    <t>*</t>
  </si>
  <si>
    <t>pago el 03 de enero</t>
  </si>
  <si>
    <t>PAGO EL 3 DE ENERO</t>
  </si>
  <si>
    <t>PAGO EL 11 DE ENERO</t>
  </si>
  <si>
    <t>PAGO EL 5 DE ENERO</t>
  </si>
  <si>
    <t>PAGO EL 19 DE ENERO</t>
  </si>
  <si>
    <t>PAGO EL 4 DE ENER</t>
  </si>
  <si>
    <t>REVISAR DESCUENTOS DE PAGOS DE OCT, NOV Y DIC</t>
  </si>
  <si>
    <t>INTERACCIONES  421396 $98 mdp</t>
  </si>
  <si>
    <t>INTERACCIONES no. 429359 80 mdp</t>
  </si>
  <si>
    <t>TIIE + 2.9</t>
  </si>
  <si>
    <t>NUEVO</t>
  </si>
  <si>
    <t>TIIE + 0.75</t>
  </si>
  <si>
    <t>INTERACCIONES no. 430787 2016 855 mdp</t>
  </si>
  <si>
    <t>30-dec-2017</t>
  </si>
  <si>
    <t>credito nuevo</t>
  </si>
  <si>
    <t>TOTAL LEY DE INGRESOS 2016</t>
  </si>
  <si>
    <t>JP MORGAN F/00432</t>
  </si>
  <si>
    <t>28/02//2027</t>
  </si>
  <si>
    <t>TIIE + 2.20%</t>
  </si>
  <si>
    <t>353  BANCO DEL BAJIO/CEA</t>
  </si>
  <si>
    <t>TIIE+ 1.90</t>
  </si>
  <si>
    <t>INTERACCIONES 330025770 $ 80 mdp</t>
  </si>
  <si>
    <t>TIIE + 2.95%</t>
  </si>
  <si>
    <t>TELEVISORA DE HERMOSILLO, S.A.</t>
  </si>
  <si>
    <t>VALOR  DE LA UDI  AL 30/ABRIL/2016</t>
  </si>
  <si>
    <t>BANORTE QUIROGRAFARIO 500 MDP</t>
  </si>
  <si>
    <t>TIIE+1.25</t>
  </si>
  <si>
    <t>SWAPS</t>
  </si>
  <si>
    <t>TOTAL BANORTE</t>
  </si>
  <si>
    <t>TOTAL BBVA BANCOMER</t>
  </si>
  <si>
    <t>TOTAL INTERACCIONES</t>
  </si>
  <si>
    <t>TOTAL SANTANDER</t>
  </si>
  <si>
    <t>TOTAL SCOTIABANK</t>
  </si>
  <si>
    <t>TOTAL POR BANCO INTERACCIONES</t>
  </si>
  <si>
    <t>TOTAL POR BANCO BANORTE</t>
  </si>
  <si>
    <t>TOTAL CORTO PLAZO INTERACCIONES</t>
  </si>
  <si>
    <t>TOTAL CORTO PLAZO BANORTE</t>
  </si>
  <si>
    <t>15-dec-2016</t>
  </si>
  <si>
    <t>TIIE + 2.41%</t>
  </si>
  <si>
    <t>INTERACCIONES 300005940 $579mdp</t>
  </si>
  <si>
    <t>INTERACCIONES no. 439277 100 mdp</t>
  </si>
  <si>
    <t>TIIE + 2.25</t>
  </si>
  <si>
    <t>SALDO AL 30 DE SEPTIEMBRE 2016</t>
  </si>
  <si>
    <t>SALDOS AL 30 DE SEPTIEMBRE DE 2016</t>
  </si>
  <si>
    <t>30/09/16</t>
  </si>
  <si>
    <t>Santander 1,000 mdp</t>
  </si>
  <si>
    <t>Banorte 1500 mdp</t>
  </si>
  <si>
    <t>Santander 1000 mdp</t>
  </si>
  <si>
    <t>Banorte 1,500 mdp</t>
  </si>
  <si>
    <r>
      <rPr>
        <sz val="10"/>
        <rFont val="Arial"/>
        <family val="2"/>
      </rPr>
      <t>Santander 1000 mdp</t>
    </r>
    <r>
      <rPr>
        <b/>
        <sz val="10"/>
        <rFont val="Arial"/>
        <family val="2"/>
      </rPr>
      <t xml:space="preserve"> </t>
    </r>
  </si>
  <si>
    <t>TIIE+1.90</t>
  </si>
  <si>
    <t>TIIE+3.34</t>
  </si>
  <si>
    <t>TIIE + 2.4</t>
  </si>
  <si>
    <t>TIIE + 2.1</t>
  </si>
  <si>
    <t>TIIE + 1.86</t>
  </si>
  <si>
    <t>NUMERO DE CREDITO</t>
  </si>
  <si>
    <t>00748200009613001970</t>
  </si>
  <si>
    <t>00748200009836377122</t>
  </si>
  <si>
    <t>00748200009836377629</t>
  </si>
  <si>
    <t>00748200009631027883</t>
  </si>
  <si>
    <t>00748200009850339962</t>
  </si>
  <si>
    <t>00748200009850394874</t>
  </si>
  <si>
    <t>00748200009824152271</t>
  </si>
  <si>
    <t>GARANTIA</t>
  </si>
  <si>
    <t>Recursos Propios</t>
  </si>
  <si>
    <t>05007698272</t>
  </si>
  <si>
    <t>05005260351</t>
  </si>
  <si>
    <t>TOPES PARA CONTRATACION DE DEUDA PUBLICA</t>
  </si>
  <si>
    <t>25% FAFEF</t>
  </si>
  <si>
    <t xml:space="preserve">De acuerdo a la ley de Deuda Publica, ultima reforma publicada el Viernes 21 de octubre de 2016 , se expresa lo siguiente: </t>
  </si>
  <si>
    <t xml:space="preserve">en el Articulo18 las contrataciones  de Financiamiento se sujetaran al Techo de Financiamiento Neto aprobado por el Congreso del Estado </t>
  </si>
  <si>
    <t>en el articulo 20 dice:</t>
  </si>
  <si>
    <t>En todo momento, el saldo insoluto total del monto principal de estas obligaciones a corto plazo no exceda del 6  por ciento de los ingresos totales aprobados en su ley de ingresos ,</t>
  </si>
  <si>
    <t xml:space="preserve"> sin incluir financiamiento Neto, del Estado o del Municipio durante el Ejercicio fiscal correspondiente.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</si>
</sst>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"/>
    <numFmt numFmtId="165" formatCode="[$-409]dd\-mmm\-yy;@"/>
    <numFmt numFmtId="166" formatCode="yyyy\-mm;@"/>
    <numFmt numFmtId="167" formatCode="#,##0.00_ ;\-#,##0.00\ "/>
    <numFmt numFmtId="168" formatCode="d/mm/yy;@"/>
    <numFmt numFmtId="169" formatCode="[$-409]d\-mmm\-yy;@"/>
    <numFmt numFmtId="170" formatCode="_-* #,##0.00\ _€_-;\-* #,##0.00\ _€_-;_-* &quot;-&quot;??\ _€_-;_-@_-"/>
    <numFmt numFmtId="171" formatCode="0.000000"/>
    <numFmt numFmtId="172" formatCode="#,##0.000000_ ;\-#,##0.000000\ "/>
    <numFmt numFmtId="173" formatCode="#,##0.0000000"/>
    <numFmt numFmtId="174" formatCode="[$-C0A]d\ &quot;de&quot;\ mmmm\ &quot;de&quot;\ yyyy;@"/>
    <numFmt numFmtId="175" formatCode="0.0000"/>
    <numFmt numFmtId="176" formatCode="dd/mm/yyyy;@"/>
    <numFmt numFmtId="177" formatCode="mmm\-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80A]dddd\,\ dd&quot; de &quot;mmmm&quot; de &quot;yyyy"/>
    <numFmt numFmtId="183" formatCode="[$-80A]hh:mm:ss\ AM/PM"/>
    <numFmt numFmtId="184" formatCode="[$-F800]dddd\,\ mmmm\ dd\,\ yyyy"/>
    <numFmt numFmtId="185" formatCode="&quot;$&quot;#,##0.00"/>
    <numFmt numFmtId="186" formatCode="0.0000E+00"/>
    <numFmt numFmtId="187" formatCode="0.000E+00"/>
    <numFmt numFmtId="188" formatCode="0.0E+00"/>
    <numFmt numFmtId="189" formatCode="0E+00"/>
    <numFmt numFmtId="190" formatCode="0.00000E+00"/>
    <numFmt numFmtId="191" formatCode="0.000000E+00"/>
    <numFmt numFmtId="192" formatCode="0.0000000E+00"/>
    <numFmt numFmtId="193" formatCode="0.00000000E+00"/>
    <numFmt numFmtId="194" formatCode="0.000000000E+00"/>
    <numFmt numFmtId="195" formatCode="0.0000000000E+00"/>
    <numFmt numFmtId="196" formatCode="0.00000000000E+00"/>
    <numFmt numFmtId="197" formatCode="0.000000000000E+00"/>
    <numFmt numFmtId="198" formatCode="0.0000000000000E+00"/>
    <numFmt numFmtId="199" formatCode="0.00000000000000E+00"/>
    <numFmt numFmtId="200" formatCode="0.000000000000000E+00"/>
    <numFmt numFmtId="201" formatCode="0.0000000000000000E+00"/>
    <numFmt numFmtId="202" formatCode="0.00000000000000000E+00"/>
    <numFmt numFmtId="203" formatCode="0.000000000000000000E+00"/>
    <numFmt numFmtId="204" formatCode="0.0000000000000000000E+00"/>
    <numFmt numFmtId="205" formatCode="0.00000000000000000000E+00"/>
    <numFmt numFmtId="206" formatCode="0.000000000000000000000E+00"/>
    <numFmt numFmtId="207" formatCode="0.0000000000000000000000E+00"/>
    <numFmt numFmtId="208" formatCode="0.00000000000000000000000E+00"/>
    <numFmt numFmtId="209" formatCode="0.000000000000000000000000E+00"/>
    <numFmt numFmtId="210" formatCode="0.0000000000000000000000000E+00"/>
    <numFmt numFmtId="211" formatCode="0.00000000000000000000000000E+00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u val="single"/>
      <sz val="11"/>
      <name val="Arial"/>
      <family val="2"/>
    </font>
    <font>
      <b/>
      <sz val="8"/>
      <name val="Arial Narrow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8"/>
      <color indexed="63"/>
      <name val="Verdana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222222"/>
      <name val="Arial"/>
      <family val="2"/>
    </font>
    <font>
      <sz val="8"/>
      <color rgb="FF333333"/>
      <name val="Verdan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4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4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56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3" fontId="0" fillId="0" borderId="0" xfId="48" applyFon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0" fontId="2" fillId="0" borderId="10" xfId="56" applyNumberFormat="1" applyFont="1" applyFill="1" applyBorder="1" applyAlignment="1">
      <alignment horizontal="center" vertical="center"/>
    </xf>
    <xf numFmtId="43" fontId="0" fillId="0" borderId="10" xfId="48" applyFont="1" applyFill="1" applyBorder="1" applyAlignment="1">
      <alignment/>
    </xf>
    <xf numFmtId="10" fontId="0" fillId="0" borderId="10" xfId="56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3" fontId="0" fillId="0" borderId="10" xfId="48" applyFont="1" applyFill="1" applyBorder="1" applyAlignment="1">
      <alignment horizontal="right" indent="1"/>
    </xf>
    <xf numFmtId="43" fontId="2" fillId="0" borderId="10" xfId="48" applyFont="1" applyFill="1" applyBorder="1" applyAlignment="1">
      <alignment horizontal="right" indent="1"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43" fontId="2" fillId="0" borderId="10" xfId="48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43" fontId="0" fillId="0" borderId="0" xfId="48" applyFont="1" applyFill="1" applyBorder="1" applyAlignment="1">
      <alignment horizontal="right" indent="1"/>
    </xf>
    <xf numFmtId="10" fontId="0" fillId="0" borderId="0" xfId="56" applyNumberFormat="1" applyFont="1" applyFill="1" applyAlignment="1">
      <alignment horizontal="center" vertical="center"/>
    </xf>
    <xf numFmtId="43" fontId="2" fillId="0" borderId="0" xfId="48" applyFont="1" applyFill="1" applyBorder="1" applyAlignment="1">
      <alignment horizontal="right" indent="1"/>
    </xf>
    <xf numFmtId="43" fontId="19" fillId="0" borderId="0" xfId="48" applyFont="1" applyFill="1" applyBorder="1" applyAlignment="1">
      <alignment horizontal="right" indent="1"/>
    </xf>
    <xf numFmtId="43" fontId="2" fillId="0" borderId="0" xfId="48" applyFont="1" applyFill="1" applyBorder="1" applyAlignment="1">
      <alignment horizontal="right" vertical="center"/>
    </xf>
    <xf numFmtId="43" fontId="0" fillId="0" borderId="0" xfId="48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43" fontId="0" fillId="0" borderId="0" xfId="48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43" fontId="2" fillId="0" borderId="10" xfId="48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48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4" fontId="2" fillId="0" borderId="10" xfId="48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4" fontId="0" fillId="0" borderId="0" xfId="48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right" indent="1"/>
    </xf>
    <xf numFmtId="0" fontId="3" fillId="0" borderId="11" xfId="0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indent="1"/>
    </xf>
    <xf numFmtId="4" fontId="0" fillId="0" borderId="0" xfId="0" applyNumberFormat="1" applyFont="1" applyFill="1" applyAlignment="1">
      <alignment horizontal="left"/>
    </xf>
    <xf numFmtId="43" fontId="0" fillId="0" borderId="0" xfId="48" applyFont="1" applyFill="1" applyAlignment="1">
      <alignment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right" indent="1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4" fillId="0" borderId="0" xfId="56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0" fontId="6" fillId="0" borderId="0" xfId="56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0" fontId="0" fillId="0" borderId="0" xfId="56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10" fontId="0" fillId="0" borderId="0" xfId="56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56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0" fontId="4" fillId="0" borderId="0" xfId="56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 vertical="center" wrapText="1"/>
    </xf>
    <xf numFmtId="10" fontId="2" fillId="0" borderId="0" xfId="56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indent="1" shrinkToFit="1"/>
    </xf>
    <xf numFmtId="164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5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3" fillId="0" borderId="13" xfId="0" applyFont="1" applyFill="1" applyBorder="1" applyAlignment="1">
      <alignment horizontal="right"/>
    </xf>
    <xf numFmtId="15" fontId="3" fillId="0" borderId="14" xfId="0" applyNumberFormat="1" applyFont="1" applyFill="1" applyBorder="1" applyAlignment="1">
      <alignment horizontal="left"/>
    </xf>
    <xf numFmtId="0" fontId="0" fillId="0" borderId="0" xfId="48" applyNumberFormat="1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0" fillId="0" borderId="0" xfId="48" applyNumberFormat="1" applyFont="1" applyFill="1" applyAlignment="1">
      <alignment horizontal="right" indent="1"/>
    </xf>
    <xf numFmtId="0" fontId="0" fillId="0" borderId="0" xfId="0" applyFont="1" applyFill="1" applyAlignment="1">
      <alignment/>
    </xf>
    <xf numFmtId="167" fontId="0" fillId="0" borderId="0" xfId="48" applyNumberFormat="1" applyFont="1" applyFill="1" applyAlignment="1">
      <alignment/>
    </xf>
    <xf numFmtId="0" fontId="66" fillId="0" borderId="0" xfId="0" applyFont="1" applyFill="1" applyAlignment="1">
      <alignment/>
    </xf>
    <xf numFmtId="4" fontId="66" fillId="0" borderId="0" xfId="0" applyNumberFormat="1" applyFont="1" applyFill="1" applyAlignment="1">
      <alignment/>
    </xf>
    <xf numFmtId="4" fontId="66" fillId="0" borderId="0" xfId="48" applyNumberFormat="1" applyFont="1" applyFill="1" applyAlignment="1">
      <alignment horizontal="right" indent="1"/>
    </xf>
    <xf numFmtId="43" fontId="66" fillId="0" borderId="0" xfId="48" applyFont="1" applyFill="1" applyAlignment="1">
      <alignment/>
    </xf>
    <xf numFmtId="15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right" indent="1"/>
    </xf>
    <xf numFmtId="0" fontId="14" fillId="0" borderId="0" xfId="48" applyNumberFormat="1" applyFont="1" applyFill="1" applyAlignment="1">
      <alignment horizontal="center"/>
    </xf>
    <xf numFmtId="8" fontId="67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2" fillId="0" borderId="0" xfId="48" applyNumberFormat="1" applyFont="1" applyFill="1" applyAlignment="1">
      <alignment horizontal="right" indent="1"/>
    </xf>
    <xf numFmtId="0" fontId="5" fillId="0" borderId="0" xfId="48" applyNumberFormat="1" applyFont="1" applyFill="1" applyAlignment="1">
      <alignment/>
    </xf>
    <xf numFmtId="4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74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" fontId="1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justify" wrapText="1"/>
    </xf>
    <xf numFmtId="0" fontId="14" fillId="0" borderId="0" xfId="0" applyFont="1" applyFill="1" applyAlignment="1">
      <alignment horizontal="left" vertical="justify"/>
    </xf>
    <xf numFmtId="4" fontId="14" fillId="0" borderId="0" xfId="0" applyNumberFormat="1" applyFont="1" applyFill="1" applyAlignment="1">
      <alignment horizontal="center" vertical="justify" wrapText="1"/>
    </xf>
    <xf numFmtId="43" fontId="0" fillId="0" borderId="0" xfId="48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4" fontId="14" fillId="0" borderId="0" xfId="0" applyNumberFormat="1" applyFont="1" applyFill="1" applyBorder="1" applyAlignment="1">
      <alignment horizontal="center"/>
    </xf>
    <xf numFmtId="43" fontId="0" fillId="0" borderId="0" xfId="48" applyFont="1" applyFill="1" applyBorder="1" applyAlignment="1">
      <alignment horizontal="center" vertical="center"/>
    </xf>
    <xf numFmtId="43" fontId="0" fillId="0" borderId="0" xfId="48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43" fontId="15" fillId="0" borderId="0" xfId="48" applyFont="1" applyFill="1" applyBorder="1" applyAlignment="1">
      <alignment horizontal="right" wrapText="1"/>
    </xf>
    <xf numFmtId="16" fontId="0" fillId="0" borderId="0" xfId="0" applyNumberFormat="1" applyFill="1" applyAlignment="1">
      <alignment/>
    </xf>
    <xf numFmtId="4" fontId="16" fillId="0" borderId="0" xfId="0" applyNumberFormat="1" applyFont="1" applyFill="1" applyAlignment="1">
      <alignment horizontal="right" indent="1"/>
    </xf>
    <xf numFmtId="171" fontId="9" fillId="0" borderId="0" xfId="0" applyNumberFormat="1" applyFont="1" applyFill="1" applyBorder="1" applyAlignment="1">
      <alignment horizontal="left" vertical="center" wrapText="1" indent="1" shrinkToFit="1"/>
    </xf>
    <xf numFmtId="43" fontId="0" fillId="0" borderId="0" xfId="48" applyFont="1" applyFill="1" applyAlignment="1">
      <alignment horizontal="right" indent="1"/>
    </xf>
    <xf numFmtId="170" fontId="14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" fontId="0" fillId="0" borderId="17" xfId="0" applyNumberForma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3" fontId="2" fillId="0" borderId="18" xfId="0" applyNumberFormat="1" applyFont="1" applyFill="1" applyBorder="1" applyAlignment="1">
      <alignment horizontal="right" indent="1"/>
    </xf>
    <xf numFmtId="43" fontId="2" fillId="0" borderId="0" xfId="48" applyFont="1" applyFill="1" applyAlignment="1">
      <alignment/>
    </xf>
    <xf numFmtId="4" fontId="23" fillId="0" borderId="0" xfId="0" applyNumberFormat="1" applyFont="1" applyFill="1" applyAlignment="1">
      <alignment horizontal="right" indent="1"/>
    </xf>
    <xf numFmtId="4" fontId="2" fillId="0" borderId="0" xfId="48" applyNumberFormat="1" applyFont="1" applyFill="1" applyAlignment="1">
      <alignment horizontal="right" indent="1"/>
    </xf>
    <xf numFmtId="4" fontId="66" fillId="0" borderId="0" xfId="0" applyNumberFormat="1" applyFont="1" applyFill="1" applyAlignment="1">
      <alignment horizontal="right" indent="1"/>
    </xf>
    <xf numFmtId="4" fontId="2" fillId="0" borderId="0" xfId="0" applyNumberFormat="1" applyFont="1" applyFill="1" applyAlignment="1">
      <alignment/>
    </xf>
    <xf numFmtId="4" fontId="69" fillId="0" borderId="0" xfId="0" applyNumberFormat="1" applyFont="1" applyFill="1" applyAlignment="1">
      <alignment horizontal="right" indent="1"/>
    </xf>
    <xf numFmtId="0" fontId="66" fillId="0" borderId="0" xfId="0" applyFont="1" applyFill="1" applyAlignment="1">
      <alignment horizontal="center"/>
    </xf>
    <xf numFmtId="14" fontId="66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14" fontId="0" fillId="0" borderId="0" xfId="0" applyNumberFormat="1" applyFill="1" applyBorder="1" applyAlignment="1">
      <alignment horizontal="center"/>
    </xf>
    <xf numFmtId="4" fontId="7" fillId="0" borderId="0" xfId="0" applyNumberFormat="1" applyFont="1" applyFill="1" applyAlignment="1">
      <alignment horizontal="right" indent="1"/>
    </xf>
    <xf numFmtId="4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right"/>
    </xf>
    <xf numFmtId="49" fontId="20" fillId="0" borderId="14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5" fontId="20" fillId="0" borderId="1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5" fontId="20" fillId="0" borderId="15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66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/>
    </xf>
    <xf numFmtId="3" fontId="68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right" vertical="center"/>
    </xf>
    <xf numFmtId="14" fontId="2" fillId="0" borderId="2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4" fontId="14" fillId="0" borderId="0" xfId="0" applyNumberFormat="1" applyFont="1" applyFill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15" fontId="2" fillId="0" borderId="13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15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3" fontId="0" fillId="0" borderId="13" xfId="0" applyNumberFormat="1" applyFont="1" applyFill="1" applyBorder="1" applyAlignment="1">
      <alignment/>
    </xf>
    <xf numFmtId="43" fontId="0" fillId="0" borderId="13" xfId="48" applyFont="1" applyFill="1" applyBorder="1" applyAlignment="1">
      <alignment horizontal="right" indent="1"/>
    </xf>
    <xf numFmtId="4" fontId="0" fillId="0" borderId="13" xfId="48" applyNumberFormat="1" applyFont="1" applyFill="1" applyBorder="1" applyAlignment="1">
      <alignment horizontal="right" indent="1"/>
    </xf>
    <xf numFmtId="0" fontId="0" fillId="0" borderId="13" xfId="0" applyFill="1" applyBorder="1" applyAlignment="1">
      <alignment/>
    </xf>
    <xf numFmtId="43" fontId="0" fillId="0" borderId="13" xfId="0" applyNumberFormat="1" applyFont="1" applyFill="1" applyBorder="1" applyAlignment="1">
      <alignment horizontal="right" indent="1"/>
    </xf>
    <xf numFmtId="43" fontId="19" fillId="0" borderId="13" xfId="48" applyFont="1" applyFill="1" applyBorder="1" applyAlignment="1">
      <alignment horizontal="right" indent="1"/>
    </xf>
    <xf numFmtId="0" fontId="0" fillId="0" borderId="23" xfId="0" applyFill="1" applyBorder="1" applyAlignment="1">
      <alignment/>
    </xf>
    <xf numFmtId="43" fontId="0" fillId="0" borderId="13" xfId="0" applyNumberFormat="1" applyFill="1" applyBorder="1" applyAlignment="1">
      <alignment/>
    </xf>
    <xf numFmtId="10" fontId="0" fillId="0" borderId="14" xfId="56" applyNumberFormat="1" applyFont="1" applyFill="1" applyBorder="1" applyAlignment="1">
      <alignment horizontal="center" vertical="center"/>
    </xf>
    <xf numFmtId="10" fontId="0" fillId="0" borderId="14" xfId="56" applyNumberFormat="1" applyFont="1" applyFill="1" applyBorder="1" applyAlignment="1">
      <alignment horizontal="center" vertical="center"/>
    </xf>
    <xf numFmtId="10" fontId="19" fillId="0" borderId="14" xfId="56" applyNumberFormat="1" applyFont="1" applyFill="1" applyBorder="1" applyAlignment="1">
      <alignment horizontal="center" vertical="center"/>
    </xf>
    <xf numFmtId="6" fontId="0" fillId="0" borderId="10" xfId="0" applyNumberFormat="1" applyFill="1" applyBorder="1" applyAlignment="1">
      <alignment/>
    </xf>
    <xf numFmtId="8" fontId="67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right" indent="1"/>
    </xf>
    <xf numFmtId="0" fontId="3" fillId="0" borderId="13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indent="1"/>
    </xf>
    <xf numFmtId="10" fontId="0" fillId="0" borderId="0" xfId="56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3" fontId="0" fillId="0" borderId="0" xfId="48" applyFont="1" applyFill="1" applyBorder="1" applyAlignment="1">
      <alignment horizontal="center" vertical="center" wrapText="1"/>
    </xf>
    <xf numFmtId="43" fontId="0" fillId="0" borderId="0" xfId="48" applyFont="1" applyFill="1" applyBorder="1" applyAlignment="1">
      <alignment horizontal="right" vertical="center" wrapText="1" indent="1"/>
    </xf>
    <xf numFmtId="43" fontId="0" fillId="0" borderId="0" xfId="48" applyFont="1" applyFill="1" applyAlignment="1">
      <alignment vertical="center"/>
    </xf>
    <xf numFmtId="43" fontId="0" fillId="0" borderId="0" xfId="48" applyFont="1" applyFill="1" applyAlignment="1">
      <alignment horizontal="center" vertical="center" wrapText="1"/>
    </xf>
    <xf numFmtId="43" fontId="2" fillId="0" borderId="0" xfId="48" applyFont="1" applyFill="1" applyBorder="1" applyAlignment="1">
      <alignment horizontal="center" vertical="center" wrapText="1"/>
    </xf>
    <xf numFmtId="43" fontId="0" fillId="0" borderId="0" xfId="48" applyFont="1" applyFill="1" applyAlignment="1">
      <alignment horizontal="center" vertical="center" wrapText="1"/>
    </xf>
    <xf numFmtId="43" fontId="2" fillId="0" borderId="0" xfId="48" applyFont="1" applyFill="1" applyAlignment="1">
      <alignment horizontal="right" indent="1"/>
    </xf>
    <xf numFmtId="43" fontId="2" fillId="0" borderId="0" xfId="48" applyFont="1" applyFill="1" applyBorder="1" applyAlignment="1">
      <alignment horizontal="left" vertical="center" indent="1" shrinkToFit="1"/>
    </xf>
    <xf numFmtId="43" fontId="0" fillId="0" borderId="0" xfId="0" applyNumberForma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/>
    </xf>
    <xf numFmtId="10" fontId="7" fillId="0" borderId="0" xfId="56" applyNumberFormat="1" applyFont="1" applyFill="1" applyAlignment="1">
      <alignment horizontal="center"/>
    </xf>
    <xf numFmtId="14" fontId="15" fillId="0" borderId="0" xfId="0" applyNumberFormat="1" applyFont="1" applyFill="1" applyAlignment="1">
      <alignment/>
    </xf>
    <xf numFmtId="43" fontId="7" fillId="0" borderId="0" xfId="48" applyFont="1" applyFill="1" applyAlignment="1">
      <alignment horizontal="right" indent="1"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70" fillId="0" borderId="0" xfId="48" applyNumberFormat="1" applyFont="1" applyFill="1" applyAlignment="1">
      <alignment/>
    </xf>
    <xf numFmtId="4" fontId="0" fillId="0" borderId="0" xfId="0" applyNumberFormat="1" applyFont="1" applyFill="1" applyBorder="1" applyAlignment="1" applyProtection="1">
      <alignment horizontal="right" indent="1"/>
      <protection/>
    </xf>
    <xf numFmtId="10" fontId="0" fillId="0" borderId="0" xfId="0" applyNumberFormat="1" applyFont="1" applyFill="1" applyAlignment="1">
      <alignment horizontal="center"/>
    </xf>
    <xf numFmtId="4" fontId="71" fillId="0" borderId="0" xfId="0" applyNumberFormat="1" applyFont="1" applyFill="1" applyAlignment="1">
      <alignment horizontal="left"/>
    </xf>
    <xf numFmtId="0" fontId="71" fillId="0" borderId="0" xfId="0" applyFont="1" applyFill="1" applyAlignment="1">
      <alignment horizontal="left"/>
    </xf>
    <xf numFmtId="4" fontId="0" fillId="0" borderId="10" xfId="48" applyNumberFormat="1" applyFont="1" applyFill="1" applyBorder="1" applyAlignment="1">
      <alignment horizontal="right" indent="1"/>
    </xf>
    <xf numFmtId="15" fontId="0" fillId="0" borderId="10" xfId="0" applyNumberFormat="1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 horizontal="center"/>
    </xf>
    <xf numFmtId="4" fontId="66" fillId="0" borderId="10" xfId="48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right" indent="1"/>
    </xf>
    <xf numFmtId="0" fontId="0" fillId="0" borderId="10" xfId="0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" fontId="0" fillId="0" borderId="0" xfId="48" applyNumberFormat="1" applyFont="1" applyFill="1" applyBorder="1" applyAlignment="1">
      <alignment horizontal="center" vertical="center" wrapText="1"/>
    </xf>
    <xf numFmtId="4" fontId="0" fillId="0" borderId="0" xfId="48" applyNumberFormat="1" applyFont="1" applyFill="1" applyBorder="1" applyAlignment="1">
      <alignment horizontal="right" vertical="center" wrapText="1" indent="1"/>
    </xf>
    <xf numFmtId="9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0" fontId="0" fillId="0" borderId="0" xfId="56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 vertical="center"/>
    </xf>
    <xf numFmtId="43" fontId="0" fillId="0" borderId="0" xfId="48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48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48" applyNumberFormat="1" applyFont="1" applyFill="1" applyAlignment="1">
      <alignment horizontal="right"/>
    </xf>
    <xf numFmtId="4" fontId="0" fillId="0" borderId="0" xfId="48" applyNumberFormat="1" applyFont="1" applyFill="1" applyAlignment="1">
      <alignment/>
    </xf>
    <xf numFmtId="43" fontId="70" fillId="0" borderId="0" xfId="48" applyFont="1" applyFill="1" applyAlignment="1">
      <alignment/>
    </xf>
    <xf numFmtId="0" fontId="70" fillId="0" borderId="0" xfId="0" applyFont="1" applyFill="1" applyAlignment="1">
      <alignment/>
    </xf>
    <xf numFmtId="14" fontId="66" fillId="0" borderId="0" xfId="0" applyNumberFormat="1" applyFont="1" applyFill="1" applyAlignment="1">
      <alignment/>
    </xf>
    <xf numFmtId="0" fontId="66" fillId="0" borderId="0" xfId="48" applyNumberFormat="1" applyFont="1" applyFill="1" applyAlignment="1">
      <alignment/>
    </xf>
    <xf numFmtId="43" fontId="0" fillId="0" borderId="0" xfId="48" applyFont="1" applyFill="1" applyBorder="1" applyAlignment="1">
      <alignment/>
    </xf>
    <xf numFmtId="0" fontId="0" fillId="0" borderId="0" xfId="48" applyNumberFormat="1" applyFont="1" applyFill="1" applyAlignment="1">
      <alignment horizontal="right" indent="1"/>
    </xf>
    <xf numFmtId="16" fontId="6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ont="1" applyFill="1" applyAlignment="1">
      <alignment horizontal="right"/>
    </xf>
    <xf numFmtId="4" fontId="5" fillId="0" borderId="0" xfId="48" applyNumberFormat="1" applyFont="1" applyFill="1" applyAlignment="1">
      <alignment/>
    </xf>
    <xf numFmtId="1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 applyProtection="1">
      <alignment horizontal="right" indent="1"/>
      <protection locked="0"/>
    </xf>
    <xf numFmtId="4" fontId="0" fillId="0" borderId="0" xfId="48" applyNumberFormat="1" applyFont="1" applyFill="1" applyAlignment="1" applyProtection="1">
      <alignment horizontal="right" indent="1"/>
      <protection locked="0"/>
    </xf>
    <xf numFmtId="4" fontId="14" fillId="0" borderId="0" xfId="0" applyNumberFormat="1" applyFont="1" applyFill="1" applyAlignment="1">
      <alignment horizontal="left"/>
    </xf>
    <xf numFmtId="43" fontId="14" fillId="0" borderId="0" xfId="48" applyFont="1" applyFill="1" applyBorder="1" applyAlignment="1">
      <alignment/>
    </xf>
    <xf numFmtId="43" fontId="0" fillId="0" borderId="0" xfId="48" applyFont="1" applyFill="1" applyBorder="1" applyAlignment="1">
      <alignment horizontal="left"/>
    </xf>
    <xf numFmtId="175" fontId="0" fillId="0" borderId="0" xfId="0" applyNumberFormat="1" applyFont="1" applyFill="1" applyAlignment="1">
      <alignment horizontal="center"/>
    </xf>
    <xf numFmtId="43" fontId="10" fillId="0" borderId="0" xfId="48" applyFont="1" applyFill="1" applyBorder="1" applyAlignment="1">
      <alignment horizontal="left" vertical="center"/>
    </xf>
    <xf numFmtId="43" fontId="14" fillId="0" borderId="0" xfId="48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9" fontId="66" fillId="0" borderId="0" xfId="0" applyNumberFormat="1" applyFont="1" applyFill="1" applyAlignment="1">
      <alignment horizontal="center"/>
    </xf>
    <xf numFmtId="170" fontId="72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14" fontId="14" fillId="0" borderId="0" xfId="0" applyNumberFormat="1" applyFont="1" applyFill="1" applyAlignment="1">
      <alignment/>
    </xf>
    <xf numFmtId="9" fontId="0" fillId="0" borderId="0" xfId="0" applyNumberFormat="1" applyFill="1" applyAlignment="1">
      <alignment horizontal="center"/>
    </xf>
    <xf numFmtId="4" fontId="73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48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wrapText="1"/>
    </xf>
    <xf numFmtId="169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48" applyNumberFormat="1" applyFont="1" applyFill="1" applyBorder="1" applyAlignment="1">
      <alignment horizontal="center"/>
    </xf>
    <xf numFmtId="0" fontId="0" fillId="0" borderId="0" xfId="48" applyNumberFormat="1" applyFont="1" applyFill="1" applyBorder="1" applyAlignment="1">
      <alignment horizontal="center" vertical="center" wrapText="1"/>
    </xf>
    <xf numFmtId="0" fontId="2" fillId="0" borderId="0" xfId="48" applyNumberFormat="1" applyFont="1" applyFill="1" applyBorder="1" applyAlignment="1">
      <alignment horizontal="center"/>
    </xf>
    <xf numFmtId="0" fontId="0" fillId="0" borderId="0" xfId="48" applyNumberFormat="1" applyFont="1" applyFill="1" applyAlignment="1">
      <alignment horizontal="center"/>
    </xf>
    <xf numFmtId="49" fontId="0" fillId="0" borderId="0" xfId="51" applyNumberFormat="1" applyFont="1" applyFill="1" applyBorder="1" applyAlignment="1">
      <alignment horizontal="center"/>
    </xf>
    <xf numFmtId="49" fontId="0" fillId="0" borderId="0" xfId="48" applyNumberFormat="1" applyFont="1" applyFill="1" applyBorder="1" applyAlignment="1">
      <alignment horizontal="center"/>
    </xf>
    <xf numFmtId="9" fontId="0" fillId="0" borderId="0" xfId="48" applyNumberFormat="1" applyFont="1" applyFill="1" applyBorder="1" applyAlignment="1">
      <alignment horizontal="right" vertical="center" wrapText="1" indent="1"/>
    </xf>
    <xf numFmtId="10" fontId="0" fillId="0" borderId="0" xfId="48" applyNumberFormat="1" applyFont="1" applyFill="1" applyBorder="1" applyAlignment="1">
      <alignment horizontal="right" vertical="center" wrapText="1" indent="1"/>
    </xf>
    <xf numFmtId="9" fontId="0" fillId="0" borderId="0" xfId="48" applyNumberFormat="1" applyFont="1" applyFill="1" applyBorder="1" applyAlignment="1">
      <alignment horizontal="right" indent="1"/>
    </xf>
    <xf numFmtId="10" fontId="0" fillId="0" borderId="0" xfId="48" applyNumberFormat="1" applyFont="1" applyFill="1" applyBorder="1" applyAlignment="1">
      <alignment horizontal="right" indent="1"/>
    </xf>
    <xf numFmtId="43" fontId="0" fillId="0" borderId="0" xfId="48" applyFont="1" applyFill="1" applyBorder="1" applyAlignment="1">
      <alignment horizontal="right" indent="1"/>
    </xf>
    <xf numFmtId="10" fontId="0" fillId="0" borderId="0" xfId="48" applyNumberFormat="1" applyFont="1" applyFill="1" applyAlignment="1">
      <alignment horizontal="right" indent="1"/>
    </xf>
    <xf numFmtId="43" fontId="0" fillId="0" borderId="0" xfId="48" applyFont="1" applyFill="1" applyBorder="1" applyAlignment="1">
      <alignment/>
    </xf>
    <xf numFmtId="9" fontId="0" fillId="0" borderId="0" xfId="48" applyNumberFormat="1" applyFont="1" applyFill="1" applyBorder="1" applyAlignment="1">
      <alignment horizontal="right" indent="1"/>
    </xf>
    <xf numFmtId="43" fontId="0" fillId="0" borderId="0" xfId="48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5" fontId="3" fillId="0" borderId="11" xfId="0" applyNumberFormat="1" applyFont="1" applyFill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3" fontId="2" fillId="0" borderId="25" xfId="48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15" fontId="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48" applyFont="1" applyFill="1" applyBorder="1" applyAlignment="1">
      <alignment horizontal="center" vertical="center" wrapText="1"/>
    </xf>
    <xf numFmtId="43" fontId="2" fillId="0" borderId="10" xfId="48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171" fontId="5" fillId="0" borderId="11" xfId="0" applyNumberFormat="1" applyFont="1" applyFill="1" applyBorder="1" applyAlignment="1">
      <alignment horizontal="center" vertical="center" wrapText="1" shrinkToFit="1"/>
    </xf>
    <xf numFmtId="171" fontId="5" fillId="0" borderId="12" xfId="0" applyNumberFormat="1" applyFont="1" applyFill="1" applyBorder="1" applyAlignment="1">
      <alignment horizontal="center" vertical="center" wrapText="1" shrinkToFit="1"/>
    </xf>
    <xf numFmtId="43" fontId="0" fillId="0" borderId="0" xfId="48" applyFont="1" applyFill="1" applyAlignment="1">
      <alignment horizontal="center"/>
    </xf>
    <xf numFmtId="0" fontId="20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1162050</xdr:colOff>
      <xdr:row>1</xdr:row>
      <xdr:rowOff>104775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4314825" y="26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CONTABILIDAD%20ENERO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OS X PAGAR DIRECTA"/>
      <sheetName val="SALDOS  DIRECTA"/>
      <sheetName val="DEUDA DIRECTA"/>
      <sheetName val="DEUDA MUNICIPIOS AVALadOS"/>
      <sheetName val="  SALDO ACTUAL MUNICIPIO AVALA"/>
      <sheetName val=" DEUDA MUNICIPIOS NO AVALADOS"/>
      <sheetName val="SALDO MPIO NO AVALADO"/>
      <sheetName val="CONCENTRADO MUNICIPIOS"/>
      <sheetName val="ENDEUDAMIENTO MUNICIPIOS  2015"/>
      <sheetName val="RELACION DE DEUDA DE ORGANISMOS"/>
      <sheetName val="SALDOS ORGANISMOS"/>
      <sheetName val="PAGOS OOMAPAS"/>
    </sheetNames>
    <sheetDataSet>
      <sheetData sheetId="3">
        <row r="5">
          <cell r="E5">
            <v>4712.29</v>
          </cell>
        </row>
        <row r="15">
          <cell r="E15">
            <v>32512.23</v>
          </cell>
        </row>
        <row r="19">
          <cell r="E19">
            <v>2212.65</v>
          </cell>
        </row>
        <row r="23">
          <cell r="E23">
            <v>3834.5</v>
          </cell>
        </row>
        <row r="27">
          <cell r="E27">
            <v>2871.8599999999997</v>
          </cell>
        </row>
        <row r="31">
          <cell r="E31">
            <v>2130.21</v>
          </cell>
        </row>
        <row r="35">
          <cell r="E35">
            <v>7277.08</v>
          </cell>
        </row>
        <row r="36">
          <cell r="E36">
            <v>5776.2300000000005</v>
          </cell>
        </row>
        <row r="40">
          <cell r="E40">
            <v>2548.45</v>
          </cell>
        </row>
        <row r="44">
          <cell r="E44">
            <v>17167.33</v>
          </cell>
        </row>
        <row r="48">
          <cell r="E48">
            <v>4820.549999999999</v>
          </cell>
        </row>
        <row r="52">
          <cell r="E52">
            <v>7246.16</v>
          </cell>
        </row>
        <row r="56">
          <cell r="E56">
            <v>14613.82</v>
          </cell>
        </row>
        <row r="60">
          <cell r="E60">
            <v>19660.510000000002</v>
          </cell>
        </row>
        <row r="64">
          <cell r="E64">
            <v>26845.724219780004</v>
          </cell>
        </row>
        <row r="65">
          <cell r="E65">
            <v>39677.119999999995</v>
          </cell>
        </row>
        <row r="69">
          <cell r="E69">
            <v>4270.38</v>
          </cell>
        </row>
        <row r="73">
          <cell r="E73">
            <v>5198.23</v>
          </cell>
        </row>
        <row r="77">
          <cell r="E77">
            <v>33471.54</v>
          </cell>
        </row>
        <row r="81">
          <cell r="E81">
            <v>8031.110000000001</v>
          </cell>
        </row>
        <row r="85">
          <cell r="E85">
            <v>5209.209999999999</v>
          </cell>
        </row>
        <row r="89">
          <cell r="E89">
            <v>1359.79</v>
          </cell>
        </row>
      </sheetData>
      <sheetData sheetId="5">
        <row r="4">
          <cell r="A4" t="str">
            <v>FFRES-0019-11  3MDP</v>
          </cell>
          <cell r="E4">
            <v>11710.02</v>
          </cell>
        </row>
        <row r="8">
          <cell r="A8" t="str">
            <v>BANSI 30 MDP</v>
          </cell>
        </row>
        <row r="9">
          <cell r="A9" t="str">
            <v>BANSI 7 MDP</v>
          </cell>
        </row>
        <row r="10">
          <cell r="A10" t="str">
            <v>INTERACCIONES 70.1 MDP 2013 379849</v>
          </cell>
        </row>
        <row r="11">
          <cell r="A11" t="str">
            <v>BANSI 70 MDP 2014</v>
          </cell>
        </row>
        <row r="12">
          <cell r="A12" t="str">
            <v>BANSI 56 MDP 2014</v>
          </cell>
        </row>
        <row r="19">
          <cell r="E19">
            <v>7850.69</v>
          </cell>
        </row>
        <row r="22">
          <cell r="E22">
            <v>23052.48</v>
          </cell>
        </row>
        <row r="23">
          <cell r="A23" t="str">
            <v>FFRES-0026-11 </v>
          </cell>
          <cell r="E23">
            <v>6001.62</v>
          </cell>
        </row>
        <row r="25">
          <cell r="A25" t="str">
            <v>BACANORA</v>
          </cell>
        </row>
        <row r="26">
          <cell r="A26" t="str">
            <v>FFRES 0024-11 2MDP</v>
          </cell>
          <cell r="E26">
            <v>4988.1</v>
          </cell>
        </row>
        <row r="29">
          <cell r="E29">
            <v>23511.109999999997</v>
          </cell>
        </row>
        <row r="32">
          <cell r="E32">
            <v>12009.92</v>
          </cell>
        </row>
        <row r="33">
          <cell r="A33" t="str">
            <v>M0022 BANOBRAS/BACUM 7,5MDP  10584</v>
          </cell>
          <cell r="E33">
            <v>114412.32</v>
          </cell>
        </row>
        <row r="34">
          <cell r="E34">
            <v>31916.74</v>
          </cell>
        </row>
        <row r="42">
          <cell r="A42" t="str">
            <v>M019 BANOBRAS / BENITO JUAREZ C.S 2.5MDP 10441</v>
          </cell>
        </row>
        <row r="43">
          <cell r="A43" t="str">
            <v>M021 BANOBRAS / BENITO JUAREZ C.S 4.1MDP 10440</v>
          </cell>
        </row>
        <row r="46">
          <cell r="A46" t="str">
            <v>397 BANOBRAS / CABORCA C.S. 9119</v>
          </cell>
          <cell r="E46">
            <v>78830.61</v>
          </cell>
        </row>
        <row r="47">
          <cell r="A47" t="str">
            <v>M008 BANOBRAS / CABORCA C.S  21 MDP 8925</v>
          </cell>
          <cell r="E47">
            <v>142240.97</v>
          </cell>
        </row>
        <row r="48">
          <cell r="E48">
            <v>85350</v>
          </cell>
        </row>
        <row r="49">
          <cell r="A49" t="str">
            <v>INTERACCIONES 372001 45 MDP</v>
          </cell>
          <cell r="E49">
            <v>1044333.6599999999</v>
          </cell>
        </row>
        <row r="52">
          <cell r="A52" t="str">
            <v>INTERACCIONES 381482 208 MDP</v>
          </cell>
        </row>
        <row r="55">
          <cell r="E55">
            <v>326657.32999999996</v>
          </cell>
        </row>
        <row r="56">
          <cell r="E56">
            <v>334383.33999999997</v>
          </cell>
        </row>
        <row r="58">
          <cell r="A58" t="str">
            <v>CARBO</v>
          </cell>
        </row>
        <row r="59">
          <cell r="A59" t="str">
            <v>FFRES 0052-14 CARBO 3 MDP</v>
          </cell>
        </row>
        <row r="62">
          <cell r="E62">
            <v>90770.33</v>
          </cell>
        </row>
        <row r="63">
          <cell r="A63" t="str">
            <v>M011 BANOBRAS/CANANEA C.S 9924</v>
          </cell>
          <cell r="E63">
            <v>74105.81</v>
          </cell>
        </row>
        <row r="72">
          <cell r="A72" t="str">
            <v>M0009 BANOBRAS/EMPALME C.S. 13.250 MDP 9100</v>
          </cell>
          <cell r="E72">
            <v>106868.41</v>
          </cell>
        </row>
        <row r="75">
          <cell r="E75">
            <v>305504.97</v>
          </cell>
        </row>
        <row r="78">
          <cell r="E78">
            <v>50997.42</v>
          </cell>
        </row>
        <row r="81">
          <cell r="E81">
            <v>268302.25</v>
          </cell>
        </row>
        <row r="82">
          <cell r="E82">
            <v>117782.29000000001</v>
          </cell>
        </row>
        <row r="83">
          <cell r="E83">
            <v>79313.98999999999</v>
          </cell>
        </row>
        <row r="84">
          <cell r="A84" t="str">
            <v>BANSI 315 MDP 2013</v>
          </cell>
        </row>
        <row r="87">
          <cell r="E87">
            <v>2609105.3899999997</v>
          </cell>
        </row>
        <row r="88">
          <cell r="A88" t="str">
            <v>COFIDAN SN6570 230 mdp</v>
          </cell>
          <cell r="E88">
            <v>2278207.58</v>
          </cell>
        </row>
        <row r="89">
          <cell r="E89">
            <v>2960358.95</v>
          </cell>
        </row>
        <row r="90">
          <cell r="A90" t="str">
            <v>COFIDAN SN6260 242.6 MDP</v>
          </cell>
          <cell r="E90">
            <v>1298438.2</v>
          </cell>
        </row>
        <row r="95">
          <cell r="A95" t="str">
            <v>BANSI 330 mdp 2014</v>
          </cell>
        </row>
        <row r="97">
          <cell r="A97" t="str">
            <v>HUATABAMPO</v>
          </cell>
        </row>
        <row r="99">
          <cell r="A99" t="str">
            <v>BANOBRAS 11129 68 MDP</v>
          </cell>
        </row>
        <row r="104">
          <cell r="A104" t="str">
            <v>FFRES 0038-13</v>
          </cell>
          <cell r="E104">
            <v>24250.85</v>
          </cell>
        </row>
        <row r="107">
          <cell r="A107" t="str">
            <v>FFRES-0037-13</v>
          </cell>
          <cell r="E107">
            <v>22069.05</v>
          </cell>
        </row>
        <row r="109">
          <cell r="A109" t="str">
            <v>MAZATAN</v>
          </cell>
        </row>
        <row r="110">
          <cell r="A110" t="str">
            <v>FFRES 0048-13</v>
          </cell>
          <cell r="E110">
            <v>29546.84</v>
          </cell>
        </row>
        <row r="113">
          <cell r="E113">
            <v>20379.917064719997</v>
          </cell>
        </row>
        <row r="114">
          <cell r="E114">
            <v>65585.95999999999</v>
          </cell>
        </row>
        <row r="117">
          <cell r="E117">
            <v>112798.77</v>
          </cell>
        </row>
        <row r="118">
          <cell r="E118">
            <v>2305.22</v>
          </cell>
        </row>
        <row r="119">
          <cell r="A119" t="str">
            <v>M024 BANOBRAS/NACOZARI 10550 8,4 MDP</v>
          </cell>
          <cell r="E119">
            <v>105433.79</v>
          </cell>
        </row>
        <row r="120">
          <cell r="A120" t="str">
            <v>FFRES 0040-13 7 mdp</v>
          </cell>
          <cell r="E120">
            <v>56517.72</v>
          </cell>
        </row>
        <row r="126">
          <cell r="E126">
            <v>810611.12</v>
          </cell>
        </row>
        <row r="127">
          <cell r="E127">
            <v>372458.12</v>
          </cell>
        </row>
        <row r="130">
          <cell r="E130">
            <v>4483081.22</v>
          </cell>
        </row>
        <row r="133">
          <cell r="E133">
            <v>74267.19</v>
          </cell>
        </row>
        <row r="139">
          <cell r="A139" t="str">
            <v>OQUITOA</v>
          </cell>
        </row>
        <row r="140">
          <cell r="A140" t="str">
            <v>FFRES 0032-11</v>
          </cell>
          <cell r="E140">
            <v>12042.7</v>
          </cell>
        </row>
        <row r="150">
          <cell r="E150">
            <v>38571.03</v>
          </cell>
        </row>
        <row r="156">
          <cell r="E156">
            <v>729711.01</v>
          </cell>
        </row>
        <row r="157">
          <cell r="E157">
            <v>199624.14</v>
          </cell>
        </row>
        <row r="163">
          <cell r="E163">
            <v>43283.18</v>
          </cell>
        </row>
        <row r="166">
          <cell r="E166">
            <v>4800.17</v>
          </cell>
        </row>
        <row r="167">
          <cell r="E167">
            <v>7275.94</v>
          </cell>
        </row>
        <row r="174">
          <cell r="E174">
            <v>23859.74</v>
          </cell>
        </row>
        <row r="176">
          <cell r="A176" t="str">
            <v>URES</v>
          </cell>
        </row>
        <row r="177">
          <cell r="A177" t="str">
            <v>FFRES 0035-12</v>
          </cell>
          <cell r="E177">
            <v>52288.09</v>
          </cell>
        </row>
        <row r="180">
          <cell r="E180">
            <v>27838.21</v>
          </cell>
        </row>
      </sheetData>
      <sheetData sheetId="6">
        <row r="33">
          <cell r="A33" t="str">
            <v>BANOBRAS / BACUM C.S. 5,3 MDP (10519)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view="pageBreakPreview" zoomScale="120" zoomScaleSheetLayoutView="120" zoomScalePageLayoutView="80" workbookViewId="0" topLeftCell="A1">
      <selection activeCell="B3" sqref="B3"/>
    </sheetView>
  </sheetViews>
  <sheetFormatPr defaultColWidth="19.8515625" defaultRowHeight="12.75"/>
  <cols>
    <col min="1" max="2" width="21.28125" style="1" customWidth="1"/>
    <col min="3" max="16384" width="19.8515625" style="1" customWidth="1"/>
  </cols>
  <sheetData>
    <row r="1" spans="1:2" ht="12.75">
      <c r="A1" s="367" t="s">
        <v>381</v>
      </c>
      <c r="B1" s="367"/>
    </row>
    <row r="3" spans="1:2" s="23" customFormat="1" ht="45">
      <c r="A3" s="49" t="s">
        <v>382</v>
      </c>
      <c r="B3" s="48" t="str">
        <f>'SALDOS  DIRECTA'!B2:C2</f>
        <v>SALDOS AL 30 DE SEPTIEMBRE DE 2016</v>
      </c>
    </row>
    <row r="4" spans="1:2" ht="12.75">
      <c r="A4" s="4" t="s">
        <v>383</v>
      </c>
      <c r="B4" s="6">
        <f>'RESUMEN DEUDA DIRECTA'!N51</f>
        <v>19379881252.069782</v>
      </c>
    </row>
    <row r="5" spans="1:2" ht="12.75">
      <c r="A5" s="4" t="s">
        <v>384</v>
      </c>
      <c r="B5" s="6">
        <f>'RELACION DE DEUDA DE ORGANISMOS'!F29</f>
        <v>1407830782.77</v>
      </c>
    </row>
    <row r="6" spans="1:2" ht="12.75">
      <c r="A6" s="4" t="s">
        <v>385</v>
      </c>
      <c r="B6" s="6">
        <v>0</v>
      </c>
    </row>
    <row r="7" spans="1:2" s="7" customFormat="1" ht="12.75" customHeight="1">
      <c r="A7" s="44" t="s">
        <v>386</v>
      </c>
      <c r="B7" s="45">
        <f>'SALDO MPIO NO AVALADO'!E196</f>
        <v>4503566362.2069025</v>
      </c>
    </row>
    <row r="8" spans="1:2" s="7" customFormat="1" ht="12.75" customHeight="1">
      <c r="A8" s="46" t="s">
        <v>19</v>
      </c>
      <c r="B8" s="47">
        <f>SUM(B4:B7)</f>
        <v>25291278397.046684</v>
      </c>
    </row>
    <row r="9" spans="1:2" ht="12.75">
      <c r="A9" s="8"/>
      <c r="B9" s="9"/>
    </row>
    <row r="10" spans="1:2" ht="12.75">
      <c r="A10" s="8"/>
      <c r="B10" s="9"/>
    </row>
    <row r="11" ht="12.75">
      <c r="A11" s="3"/>
    </row>
    <row r="14" ht="12.75">
      <c r="B14" s="3"/>
    </row>
    <row r="19" spans="1:2" ht="12.75">
      <c r="A19" s="8"/>
      <c r="B19" s="9"/>
    </row>
    <row r="21" spans="1:2" ht="12.75">
      <c r="A21" s="8"/>
      <c r="B21" s="8"/>
    </row>
    <row r="23" ht="12.75">
      <c r="B23" s="3"/>
    </row>
    <row r="35" spans="1:6" ht="12.75">
      <c r="A35" s="10"/>
      <c r="B35" s="5"/>
      <c r="C35" s="5"/>
      <c r="D35" s="5"/>
      <c r="E35" s="5"/>
      <c r="F35" s="5"/>
    </row>
    <row r="36" spans="1:6" ht="12.75">
      <c r="A36" s="10"/>
      <c r="B36" s="5"/>
      <c r="C36" s="5"/>
      <c r="D36" s="5"/>
      <c r="E36" s="5"/>
      <c r="F36" s="5"/>
    </row>
  </sheetData>
  <sheetProtection/>
  <mergeCells count="1">
    <mergeCell ref="A1:B1"/>
  </mergeCells>
  <printOptions horizontalCentered="1"/>
  <pageMargins left="0.5905511811023623" right="0.5905511811023623" top="1.9010416666666667" bottom="0" header="0" footer="0"/>
  <pageSetup fitToHeight="1" fitToWidth="1" horizontalDpi="300" verticalDpi="300" orientation="landscape" pageOrder="overThenDown" r:id="rId2"/>
  <headerFooter alignWithMargins="0">
    <oddHeader>&amp;L&amp;G&amp;C
&amp;"Arial,Negrita"GOBIERNO DEL ESTADO DE SONORA
DIRECCIÓN GENERAL DE CRÉDITO PÚBLICO
CONCENTRADO DEUDA ESTATAL
 SEPTIEMBRE 2015
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workbookViewId="0" topLeftCell="A1">
      <selection activeCell="G15" sqref="G15"/>
    </sheetView>
  </sheetViews>
  <sheetFormatPr defaultColWidth="11.421875" defaultRowHeight="12.75"/>
  <cols>
    <col min="1" max="1" width="34.421875" style="0" bestFit="1" customWidth="1"/>
    <col min="2" max="2" width="21.8515625" style="0" customWidth="1"/>
    <col min="3" max="3" width="14.00390625" style="35" customWidth="1"/>
    <col min="4" max="4" width="12.57421875" style="0" bestFit="1" customWidth="1"/>
    <col min="5" max="5" width="14.8515625" style="33" customWidth="1"/>
    <col min="6" max="6" width="19.421875" style="33" bestFit="1" customWidth="1"/>
    <col min="7" max="7" width="20.57421875" style="33" customWidth="1"/>
  </cols>
  <sheetData>
    <row r="1" spans="1:7" s="32" customFormat="1" ht="12.75">
      <c r="A1" s="409" t="s">
        <v>253</v>
      </c>
      <c r="B1" s="409" t="s">
        <v>36</v>
      </c>
      <c r="C1" s="409" t="s">
        <v>309</v>
      </c>
      <c r="D1" s="409" t="s">
        <v>40</v>
      </c>
      <c r="E1" s="407" t="s">
        <v>340</v>
      </c>
      <c r="F1" s="407" t="s">
        <v>314</v>
      </c>
      <c r="G1" s="36" t="s">
        <v>97</v>
      </c>
    </row>
    <row r="2" spans="1:7" s="32" customFormat="1" ht="12.75">
      <c r="A2" s="409"/>
      <c r="B2" s="409"/>
      <c r="C2" s="409"/>
      <c r="D2" s="409"/>
      <c r="E2" s="407"/>
      <c r="F2" s="407"/>
      <c r="G2" s="43">
        <f>'RESUMEN MPIO NO AVALADO'!E2</f>
        <v>42643</v>
      </c>
    </row>
    <row r="3" spans="1:7" ht="12.75">
      <c r="A3" s="408" t="s">
        <v>310</v>
      </c>
      <c r="B3" s="37" t="s">
        <v>311</v>
      </c>
      <c r="C3" s="38">
        <v>8.75</v>
      </c>
      <c r="D3" s="219">
        <v>48791</v>
      </c>
      <c r="E3" s="39">
        <v>30000000</v>
      </c>
      <c r="F3" s="39" t="s">
        <v>315</v>
      </c>
      <c r="G3" s="39">
        <f>'SALDO MPIO NO AVALADO'!E9</f>
        <v>28649066</v>
      </c>
    </row>
    <row r="4" spans="1:7" ht="12.75">
      <c r="A4" s="408"/>
      <c r="B4" s="37" t="s">
        <v>311</v>
      </c>
      <c r="C4" s="38">
        <v>2.05</v>
      </c>
      <c r="D4" s="219">
        <v>48791</v>
      </c>
      <c r="E4" s="39">
        <v>7000000</v>
      </c>
      <c r="F4" s="39" t="s">
        <v>315</v>
      </c>
      <c r="G4" s="39">
        <f>'SALDO MPIO NO AVALADO'!E10</f>
        <v>6631181</v>
      </c>
    </row>
    <row r="5" spans="1:7" ht="12.75">
      <c r="A5" s="408"/>
      <c r="B5" s="37" t="s">
        <v>311</v>
      </c>
      <c r="C5" s="38">
        <v>22.3</v>
      </c>
      <c r="D5" s="219">
        <v>49080</v>
      </c>
      <c r="E5" s="39">
        <v>70000000</v>
      </c>
      <c r="F5" s="39" t="s">
        <v>315</v>
      </c>
      <c r="G5" s="39">
        <f>'SALDO MPIO NO AVALADO'!E12</f>
        <v>67314000</v>
      </c>
    </row>
    <row r="6" spans="1:7" ht="12.75">
      <c r="A6" s="408"/>
      <c r="B6" s="37" t="s">
        <v>311</v>
      </c>
      <c r="C6" s="38">
        <v>17.9</v>
      </c>
      <c r="D6" s="219">
        <v>49080</v>
      </c>
      <c r="E6" s="39">
        <v>56000000</v>
      </c>
      <c r="F6" s="39" t="s">
        <v>315</v>
      </c>
      <c r="G6" s="39">
        <f>'SALDO MPIO NO AVALADO'!E13</f>
        <v>53809000</v>
      </c>
    </row>
    <row r="7" spans="1:7" ht="12.75">
      <c r="A7" s="408"/>
      <c r="B7" s="37" t="s">
        <v>312</v>
      </c>
      <c r="C7" s="38">
        <v>27</v>
      </c>
      <c r="D7" s="219">
        <v>48807</v>
      </c>
      <c r="E7" s="39">
        <v>70147500</v>
      </c>
      <c r="F7" s="39" t="s">
        <v>316</v>
      </c>
      <c r="G7" s="39">
        <f>'SALDO MPIO NO AVALADO'!E11</f>
        <v>64468571</v>
      </c>
    </row>
    <row r="8" spans="1:7" ht="12.75">
      <c r="A8" s="37" t="s">
        <v>141</v>
      </c>
      <c r="B8" s="37" t="s">
        <v>313</v>
      </c>
      <c r="C8" s="38">
        <v>25</v>
      </c>
      <c r="D8" s="40">
        <v>45574</v>
      </c>
      <c r="E8" s="39">
        <v>8640560.6</v>
      </c>
      <c r="F8" s="39" t="s">
        <v>315</v>
      </c>
      <c r="G8" s="39">
        <f>'SALDO MPIO NO AVALADO'!E84</f>
        <v>7655233.799999995</v>
      </c>
    </row>
    <row r="9" spans="1:7" ht="14.25">
      <c r="A9" s="37" t="s">
        <v>169</v>
      </c>
      <c r="B9" s="37" t="s">
        <v>317</v>
      </c>
      <c r="C9" s="38">
        <v>100</v>
      </c>
      <c r="D9" s="40">
        <v>48883</v>
      </c>
      <c r="E9" s="39">
        <v>149665000</v>
      </c>
      <c r="F9" s="39" t="s">
        <v>318</v>
      </c>
      <c r="G9" s="39">
        <f>'SALDO MPIO NO AVALADO'!E133</f>
        <v>138780773</v>
      </c>
    </row>
    <row r="10" spans="1:7" ht="12.75">
      <c r="A10" s="408" t="s">
        <v>149</v>
      </c>
      <c r="B10" s="37" t="s">
        <v>322</v>
      </c>
      <c r="C10" s="38">
        <v>9</v>
      </c>
      <c r="D10" s="40">
        <v>48029</v>
      </c>
      <c r="E10" s="39">
        <v>230000000</v>
      </c>
      <c r="F10" s="4" t="s">
        <v>321</v>
      </c>
      <c r="G10" s="39">
        <f>'SALDO MPIO NO AVALADO'!E97</f>
        <v>211480630</v>
      </c>
    </row>
    <row r="11" spans="1:7" ht="12.75">
      <c r="A11" s="408"/>
      <c r="B11" s="37" t="s">
        <v>323</v>
      </c>
      <c r="C11" s="38">
        <v>30</v>
      </c>
      <c r="D11" s="40">
        <v>48693</v>
      </c>
      <c r="E11" s="39">
        <v>529000000</v>
      </c>
      <c r="F11" s="2" t="s">
        <v>234</v>
      </c>
      <c r="G11" s="39">
        <f>'SALDO MPIO NO AVALADO'!E98</f>
        <v>520500000</v>
      </c>
    </row>
    <row r="12" spans="1:7" ht="12.75">
      <c r="A12" s="408"/>
      <c r="B12" s="37" t="s">
        <v>322</v>
      </c>
      <c r="C12" s="38">
        <v>8</v>
      </c>
      <c r="D12" s="40">
        <v>48791</v>
      </c>
      <c r="E12" s="39">
        <v>242595874.58</v>
      </c>
      <c r="F12" s="2" t="s">
        <v>152</v>
      </c>
      <c r="G12" s="39">
        <f>'SALDO MPIO NO AVALADO'!E99</f>
        <v>181387749.24999994</v>
      </c>
    </row>
    <row r="13" spans="1:7" ht="12.75">
      <c r="A13" s="37" t="s">
        <v>174</v>
      </c>
      <c r="B13" s="37" t="s">
        <v>324</v>
      </c>
      <c r="C13" s="38">
        <v>100</v>
      </c>
      <c r="D13" s="40">
        <v>43616</v>
      </c>
      <c r="E13" s="39">
        <v>582000000</v>
      </c>
      <c r="F13" s="41" t="s">
        <v>316</v>
      </c>
      <c r="G13" s="39">
        <f>'SALDO MPIO NO AVALADO'!E137</f>
        <v>579761401</v>
      </c>
    </row>
    <row r="14" spans="1:7" ht="12.75">
      <c r="A14" s="37" t="s">
        <v>143</v>
      </c>
      <c r="B14" s="42" t="s">
        <v>325</v>
      </c>
      <c r="C14" s="38">
        <v>50</v>
      </c>
      <c r="D14" s="40">
        <v>48815</v>
      </c>
      <c r="E14" s="39">
        <v>315000000</v>
      </c>
      <c r="F14" s="41" t="s">
        <v>315</v>
      </c>
      <c r="G14" s="39">
        <f>'SALDO MPIO NO AVALADO'!E93</f>
        <v>312588395</v>
      </c>
    </row>
    <row r="15" spans="1:7" ht="12.75">
      <c r="A15" s="37" t="s">
        <v>120</v>
      </c>
      <c r="B15" s="37" t="s">
        <v>326</v>
      </c>
      <c r="C15" s="38">
        <v>36</v>
      </c>
      <c r="D15" s="40">
        <v>43616</v>
      </c>
      <c r="E15" s="39">
        <v>45413293</v>
      </c>
      <c r="F15" s="41" t="s">
        <v>316</v>
      </c>
      <c r="G15" s="39">
        <f>'SALDO MPIO NO AVALADO'!E50</f>
        <v>22136506</v>
      </c>
    </row>
    <row r="16" spans="1:7" ht="12.75">
      <c r="A16" s="37" t="s">
        <v>124</v>
      </c>
      <c r="B16" s="37" t="s">
        <v>327</v>
      </c>
      <c r="C16" s="38">
        <v>15</v>
      </c>
      <c r="D16" s="40">
        <v>48760</v>
      </c>
      <c r="E16" s="39">
        <v>208000000</v>
      </c>
      <c r="F16" s="41" t="s">
        <v>316</v>
      </c>
      <c r="G16" s="39">
        <f>'SALDO MPIO NO AVALADO'!E53</f>
        <v>194775611</v>
      </c>
    </row>
    <row r="17" spans="1:7" ht="25.5">
      <c r="A17" s="37" t="s">
        <v>270</v>
      </c>
      <c r="B17" s="37" t="s">
        <v>328</v>
      </c>
      <c r="C17" s="38" t="s">
        <v>329</v>
      </c>
      <c r="D17" s="220">
        <v>47087</v>
      </c>
      <c r="E17" s="39">
        <v>112500000</v>
      </c>
      <c r="F17" s="41" t="s">
        <v>330</v>
      </c>
      <c r="G17" s="39">
        <f>'SALDO MPIO NO AVALADO'!E169</f>
        <v>108750263</v>
      </c>
    </row>
    <row r="18" spans="1:7" ht="12.75">
      <c r="A18" s="37" t="s">
        <v>115</v>
      </c>
      <c r="B18" s="37" t="s">
        <v>331</v>
      </c>
      <c r="C18" s="38">
        <v>26</v>
      </c>
      <c r="D18" s="40">
        <v>45412</v>
      </c>
      <c r="E18" s="39">
        <v>18200000</v>
      </c>
      <c r="F18" s="41" t="s">
        <v>316</v>
      </c>
      <c r="G18" s="39">
        <f>SUM('SALDO MPIO NO AVALADO'!E36:E36)</f>
        <v>16074564</v>
      </c>
    </row>
    <row r="19" spans="1:7" ht="12.75">
      <c r="A19" s="37" t="s">
        <v>159</v>
      </c>
      <c r="B19" s="37" t="s">
        <v>333</v>
      </c>
      <c r="C19" s="38">
        <v>55</v>
      </c>
      <c r="D19" s="40">
        <v>46265</v>
      </c>
      <c r="E19" s="39">
        <v>15000000</v>
      </c>
      <c r="F19" s="41" t="s">
        <v>332</v>
      </c>
      <c r="G19" s="39">
        <f>'SALDO MPIO NO AVALADO'!E111</f>
        <v>13810076.619999997</v>
      </c>
    </row>
    <row r="20" spans="1:7" ht="12.75">
      <c r="A20" s="37" t="s">
        <v>271</v>
      </c>
      <c r="B20" s="37" t="s">
        <v>334</v>
      </c>
      <c r="C20" s="38">
        <v>55</v>
      </c>
      <c r="D20" s="219">
        <v>46265</v>
      </c>
      <c r="E20" s="39">
        <v>30000000</v>
      </c>
      <c r="F20" s="39" t="s">
        <v>332</v>
      </c>
      <c r="G20" s="39">
        <f>'SALDO MPIO NO AVALADO'!E179</f>
        <v>27675839.07</v>
      </c>
    </row>
    <row r="21" spans="1:7" ht="12.75">
      <c r="A21" s="37" t="s">
        <v>335</v>
      </c>
      <c r="B21" s="37" t="s">
        <v>336</v>
      </c>
      <c r="C21" s="38">
        <v>25</v>
      </c>
      <c r="D21" s="219">
        <v>45838</v>
      </c>
      <c r="E21" s="39">
        <v>4500000</v>
      </c>
      <c r="F21" s="39" t="s">
        <v>315</v>
      </c>
      <c r="G21" s="39">
        <f>'SALDO MPIO NO AVALADO'!E148</f>
        <v>4123553</v>
      </c>
    </row>
    <row r="22" spans="1:7" ht="12.75">
      <c r="A22" s="37" t="s">
        <v>161</v>
      </c>
      <c r="B22" s="37" t="s">
        <v>337</v>
      </c>
      <c r="C22" s="38">
        <v>36</v>
      </c>
      <c r="D22" s="219">
        <v>46507</v>
      </c>
      <c r="E22" s="39">
        <v>13560000</v>
      </c>
      <c r="F22" s="39" t="s">
        <v>332</v>
      </c>
      <c r="G22" s="39">
        <f>'SALDO MPIO NO AVALADO'!E115</f>
        <v>13217290.97</v>
      </c>
    </row>
    <row r="23" spans="1:7" ht="12.75">
      <c r="A23" s="37" t="s">
        <v>136</v>
      </c>
      <c r="B23" s="37" t="s">
        <v>338</v>
      </c>
      <c r="C23" s="38">
        <v>17</v>
      </c>
      <c r="D23" s="219">
        <v>46537</v>
      </c>
      <c r="E23" s="39">
        <v>31000000</v>
      </c>
      <c r="F23" s="39" t="s">
        <v>332</v>
      </c>
      <c r="G23" s="39">
        <f>'SALDO MPIO NO AVALADO'!E75</f>
        <v>29742457.519999996</v>
      </c>
    </row>
    <row r="24" spans="1:7" ht="12.75">
      <c r="A24" s="37" t="s">
        <v>90</v>
      </c>
      <c r="B24" s="37" t="s">
        <v>339</v>
      </c>
      <c r="C24" s="38">
        <v>100</v>
      </c>
      <c r="D24" s="219">
        <v>49490</v>
      </c>
      <c r="E24" s="39">
        <v>98000000</v>
      </c>
      <c r="F24" s="39" t="s">
        <v>316</v>
      </c>
      <c r="G24" s="39">
        <f>'SALDO MPIO NO AVALADO'!E155</f>
        <v>97748132</v>
      </c>
    </row>
    <row r="25" spans="1:7" ht="12.75">
      <c r="A25" s="4" t="s">
        <v>341</v>
      </c>
      <c r="B25" s="4" t="s">
        <v>342</v>
      </c>
      <c r="C25" s="38">
        <v>25</v>
      </c>
      <c r="D25" s="219">
        <v>45743</v>
      </c>
      <c r="E25" s="39">
        <v>3500000</v>
      </c>
      <c r="F25" s="39" t="s">
        <v>315</v>
      </c>
      <c r="G25" s="39">
        <f>'SALDO MPIO NO AVALADO'!E125</f>
        <v>3207208</v>
      </c>
    </row>
    <row r="26" spans="1:7" ht="12.75">
      <c r="A26" s="4" t="s">
        <v>84</v>
      </c>
      <c r="B26" s="4" t="s">
        <v>343</v>
      </c>
      <c r="C26" s="38">
        <v>25</v>
      </c>
      <c r="D26" s="219">
        <v>45811</v>
      </c>
      <c r="E26" s="39">
        <v>6000000</v>
      </c>
      <c r="F26" s="39" t="s">
        <v>315</v>
      </c>
      <c r="G26" s="39">
        <f>'SALDO MPIO NO AVALADO'!E40</f>
        <v>5603161</v>
      </c>
    </row>
    <row r="27" spans="1:7" ht="12.75">
      <c r="A27" s="4" t="s">
        <v>143</v>
      </c>
      <c r="B27" s="4" t="s">
        <v>405</v>
      </c>
      <c r="C27" s="38">
        <v>23</v>
      </c>
      <c r="D27" s="219">
        <v>46446</v>
      </c>
      <c r="E27" s="39">
        <v>57000000</v>
      </c>
      <c r="F27" s="39" t="s">
        <v>144</v>
      </c>
      <c r="G27" s="39">
        <f>'SALDO MPIO NO AVALADO'!E90</f>
        <v>45937927</v>
      </c>
    </row>
    <row r="28" spans="1:7" ht="12.75">
      <c r="A28" s="4" t="s">
        <v>149</v>
      </c>
      <c r="B28" s="4" t="s">
        <v>405</v>
      </c>
      <c r="C28" s="38">
        <v>50</v>
      </c>
      <c r="D28" s="219" t="s">
        <v>406</v>
      </c>
      <c r="E28" s="39">
        <v>542000000</v>
      </c>
      <c r="F28" s="39" t="s">
        <v>144</v>
      </c>
      <c r="G28" s="39">
        <f>'SALDO MPIO NO AVALADO'!E96</f>
        <v>447248972.82</v>
      </c>
    </row>
    <row r="30" ht="12.75">
      <c r="A30" s="34" t="s">
        <v>319</v>
      </c>
    </row>
    <row r="31" ht="12.75">
      <c r="A31" s="34" t="s">
        <v>320</v>
      </c>
    </row>
  </sheetData>
  <sheetProtection/>
  <mergeCells count="8">
    <mergeCell ref="F1:F2"/>
    <mergeCell ref="A10:A12"/>
    <mergeCell ref="A1:A2"/>
    <mergeCell ref="B1:B2"/>
    <mergeCell ref="C1:C2"/>
    <mergeCell ref="D1:D2"/>
    <mergeCell ref="E1:E2"/>
    <mergeCell ref="A3:A7"/>
  </mergeCells>
  <printOptions/>
  <pageMargins left="0.7086614173228347" right="0.7086614173228347" top="1.4566929133858268" bottom="0.7480314960629921" header="0.31496062992125984" footer="0.31496062992125984"/>
  <pageSetup horizontalDpi="600" verticalDpi="600" orientation="landscape" scale="85" r:id="rId2"/>
  <headerFooter>
    <oddHeader>&amp;L&amp;G&amp;CGOBIERNO DEL ESTADO DE SONORA
DIRECCIÓN DE CRÉDITO PÚBLICO
FIDEICOMISOS MUNICIPIOS SEPTIEMBRE 2016
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SheetLayoutView="100" workbookViewId="0" topLeftCell="A1">
      <selection activeCell="H25" sqref="H25"/>
    </sheetView>
  </sheetViews>
  <sheetFormatPr defaultColWidth="11.421875" defaultRowHeight="12.75"/>
  <cols>
    <col min="1" max="1" width="60.28125" style="5" customWidth="1"/>
    <col min="2" max="2" width="15.57421875" style="5" customWidth="1"/>
    <col min="3" max="3" width="15.57421875" style="5" hidden="1" customWidth="1"/>
    <col min="4" max="4" width="11.140625" style="5" customWidth="1"/>
    <col min="5" max="5" width="12.57421875" style="5" customWidth="1"/>
    <col min="6" max="6" width="17.421875" style="5" customWidth="1"/>
    <col min="7" max="7" width="13.140625" style="5" customWidth="1"/>
    <col min="8" max="8" width="15.28125" style="5" customWidth="1"/>
    <col min="9" max="9" width="14.57421875" style="5" customWidth="1"/>
    <col min="10" max="10" width="11.57421875" style="5" customWidth="1"/>
    <col min="11" max="11" width="15.421875" style="5" customWidth="1"/>
    <col min="12" max="12" width="10.7109375" style="5" hidden="1" customWidth="1"/>
    <col min="13" max="13" width="0" style="65" hidden="1" customWidth="1"/>
    <col min="14" max="14" width="13.8515625" style="5" bestFit="1" customWidth="1"/>
    <col min="15" max="15" width="11.8515625" style="5" bestFit="1" customWidth="1"/>
    <col min="16" max="16384" width="11.421875" style="5" customWidth="1"/>
  </cols>
  <sheetData>
    <row r="1" spans="2:13" ht="13.5">
      <c r="B1" s="416" t="s">
        <v>37</v>
      </c>
      <c r="C1" s="418" t="s">
        <v>273</v>
      </c>
      <c r="D1" s="188" t="s">
        <v>96</v>
      </c>
      <c r="E1" s="188" t="s">
        <v>274</v>
      </c>
      <c r="F1" s="189" t="s">
        <v>97</v>
      </c>
      <c r="G1" s="190" t="s">
        <v>433</v>
      </c>
      <c r="H1" s="420" t="s">
        <v>1</v>
      </c>
      <c r="I1" s="421"/>
      <c r="J1" s="422"/>
      <c r="K1" s="423" t="s">
        <v>2</v>
      </c>
      <c r="L1" s="188" t="s">
        <v>3</v>
      </c>
      <c r="M1" s="410" t="s">
        <v>275</v>
      </c>
    </row>
    <row r="2" spans="2:13" ht="13.5">
      <c r="B2" s="417"/>
      <c r="C2" s="419"/>
      <c r="D2" s="191" t="s">
        <v>7</v>
      </c>
      <c r="E2" s="191" t="s">
        <v>276</v>
      </c>
      <c r="F2" s="192" t="s">
        <v>22</v>
      </c>
      <c r="G2" s="193" t="s">
        <v>23</v>
      </c>
      <c r="H2" s="194" t="s">
        <v>5</v>
      </c>
      <c r="I2" s="193" t="s">
        <v>6</v>
      </c>
      <c r="J2" s="193" t="s">
        <v>277</v>
      </c>
      <c r="K2" s="424"/>
      <c r="L2" s="191" t="s">
        <v>7</v>
      </c>
      <c r="M2" s="410"/>
    </row>
    <row r="3" spans="1:12" ht="12.75">
      <c r="A3" s="125" t="s">
        <v>284</v>
      </c>
      <c r="D3" s="195"/>
      <c r="E3" s="107"/>
      <c r="F3" s="54"/>
      <c r="G3" s="54"/>
      <c r="H3" s="54"/>
      <c r="I3" s="54"/>
      <c r="J3" s="54"/>
      <c r="K3" s="54"/>
      <c r="L3" s="196"/>
    </row>
    <row r="4" spans="1:15" ht="12.75">
      <c r="A4" s="5" t="s">
        <v>285</v>
      </c>
      <c r="B4" s="65" t="s">
        <v>279</v>
      </c>
      <c r="C4" s="134">
        <v>38267</v>
      </c>
      <c r="D4" s="195">
        <v>46930</v>
      </c>
      <c r="E4" s="344">
        <v>0</v>
      </c>
      <c r="F4" s="54">
        <f>474467030-596405.06-603901.87-611492.91-619179.38-626962.47-634843.38-642823.37-650903.65-659085.51-667370.22-675759.06-684253.35-692854.42-701563.6-710382.25-719311.76-728353.51-737508.91-746779.4-756166.41-765671.43-775295.92-785041.39-794909.36-804901.37-815018.98-825263.76-835637.33-846141.29-856777.29-867546.98-878452.04-889494.19-900675.13-911996.61-923460.41-935068.31-946822.12-958723.67-970774.83-982977.47-995333.49-1007844.84-1020513.45-1033341.3-1046330.4-1059482.77-1072800.47-1086285.57-1099940.18-1113766.43</f>
        <v>432194840.7299997</v>
      </c>
      <c r="G4" s="54">
        <v>0</v>
      </c>
      <c r="H4" s="54">
        <v>1113766.43</v>
      </c>
      <c r="I4" s="54">
        <v>2076992.59</v>
      </c>
      <c r="J4" s="54">
        <v>0</v>
      </c>
      <c r="K4" s="54">
        <f>H4+I4</f>
        <v>3190759.02</v>
      </c>
      <c r="L4" s="345">
        <v>42272</v>
      </c>
      <c r="M4" s="346">
        <v>1900025999</v>
      </c>
      <c r="N4" s="74"/>
      <c r="O4" s="74"/>
    </row>
    <row r="5" spans="1:12" ht="12.75">
      <c r="A5" s="125" t="s">
        <v>280</v>
      </c>
      <c r="D5" s="195"/>
      <c r="E5" s="107"/>
      <c r="F5" s="79">
        <f>SUM(F4:F4)</f>
        <v>432194840.7299997</v>
      </c>
      <c r="G5" s="79">
        <f>SUM(G4:G4)</f>
        <v>0</v>
      </c>
      <c r="H5" s="54"/>
      <c r="I5" s="54"/>
      <c r="J5" s="54"/>
      <c r="K5" s="54"/>
      <c r="L5" s="196"/>
    </row>
    <row r="6" spans="4:12" ht="12.75">
      <c r="D6" s="195"/>
      <c r="E6" s="107"/>
      <c r="F6" s="54"/>
      <c r="G6" s="54"/>
      <c r="H6" s="54"/>
      <c r="I6" s="54"/>
      <c r="J6" s="54"/>
      <c r="K6" s="54"/>
      <c r="L6" s="196"/>
    </row>
    <row r="7" spans="1:12" ht="13.5">
      <c r="A7" s="125" t="s">
        <v>286</v>
      </c>
      <c r="D7" s="107"/>
      <c r="E7" s="107"/>
      <c r="F7" s="54"/>
      <c r="G7" s="54"/>
      <c r="H7" s="54"/>
      <c r="I7" s="54"/>
      <c r="J7" s="54"/>
      <c r="K7" s="54"/>
      <c r="L7" s="197"/>
    </row>
    <row r="8" spans="1:15" ht="12.75">
      <c r="A8" s="5" t="s">
        <v>287</v>
      </c>
      <c r="B8" s="166">
        <v>0.09</v>
      </c>
      <c r="C8" s="134">
        <v>40996</v>
      </c>
      <c r="D8" s="195">
        <v>44648</v>
      </c>
      <c r="E8" s="344">
        <v>0</v>
      </c>
      <c r="F8" s="54">
        <f>400000000-3333333.73-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-3333333.33-3333333.33</f>
        <v>219999999.78000042</v>
      </c>
      <c r="G8" s="54">
        <v>0</v>
      </c>
      <c r="H8" s="54">
        <v>3333333.33</v>
      </c>
      <c r="I8" s="54">
        <v>1675000</v>
      </c>
      <c r="J8" s="54">
        <v>0</v>
      </c>
      <c r="K8" s="54">
        <f>H8+I8+J8</f>
        <v>5008333.33</v>
      </c>
      <c r="L8" s="347">
        <v>42277</v>
      </c>
      <c r="M8" s="348"/>
      <c r="N8" s="74"/>
      <c r="O8" s="74"/>
    </row>
    <row r="9" spans="1:15" ht="12.75">
      <c r="A9" s="5" t="s">
        <v>288</v>
      </c>
      <c r="B9" s="166">
        <f>B8</f>
        <v>0.09</v>
      </c>
      <c r="C9" s="134">
        <v>41114</v>
      </c>
      <c r="D9" s="195">
        <v>44766</v>
      </c>
      <c r="E9" s="74">
        <v>5100000</v>
      </c>
      <c r="F9" s="54">
        <f>200000000-1666746-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-1666666-1666666</f>
        <v>116666620</v>
      </c>
      <c r="G9" s="54">
        <v>0</v>
      </c>
      <c r="H9" s="54">
        <v>1666666</v>
      </c>
      <c r="I9" s="54">
        <v>887499.65</v>
      </c>
      <c r="J9" s="54">
        <v>0</v>
      </c>
      <c r="K9" s="54">
        <f>H9+I9+J9</f>
        <v>2554165.65</v>
      </c>
      <c r="L9" s="347">
        <v>42277</v>
      </c>
      <c r="N9" s="74"/>
      <c r="O9" s="74"/>
    </row>
    <row r="10" spans="1:12" ht="13.5">
      <c r="A10" s="125" t="s">
        <v>2</v>
      </c>
      <c r="D10" s="107"/>
      <c r="E10" s="107"/>
      <c r="F10" s="79">
        <f>F8+F9</f>
        <v>336666619.78000045</v>
      </c>
      <c r="G10" s="79">
        <f>G8</f>
        <v>0</v>
      </c>
      <c r="H10" s="54"/>
      <c r="I10" s="54"/>
      <c r="J10" s="54"/>
      <c r="K10" s="54"/>
      <c r="L10" s="197"/>
    </row>
    <row r="11" spans="1:7" ht="12.75">
      <c r="A11" s="125" t="s">
        <v>278</v>
      </c>
      <c r="F11" s="74"/>
      <c r="G11" s="74"/>
    </row>
    <row r="12" spans="1:15" ht="12.75">
      <c r="A12" s="127" t="s">
        <v>408</v>
      </c>
      <c r="B12" s="65" t="s">
        <v>279</v>
      </c>
      <c r="C12" s="86">
        <v>38267</v>
      </c>
      <c r="D12" s="349">
        <v>46930</v>
      </c>
      <c r="E12" s="344">
        <v>0</v>
      </c>
      <c r="F12" s="54">
        <f>396381748-498251.86-504514.88-510856.64-517278.1-523780.29-530364.21-537030.89-543781.36-550616.7-557537.95-564546.2-571642.54-578828.09-586103.96-593471.29-600931.22-608484.93-616133.58-623878.38-631720.53-639661.26-647701.8-655843.41-664087.37-672434.94-680887.45-689446.21-698112.54-706887.82-715773.4-724770.67-733881.04-743105.92-752446.76-761905.02-771482.17-781179.7-790999.13-800941.99-811009.83-821204.22-831526.76-841979.05-852562.72-863279.44-874130.86-885118.69-896244.63-907510.42-918917.83-930468.63</f>
        <v>361066492.71999997</v>
      </c>
      <c r="G12" s="54">
        <v>0</v>
      </c>
      <c r="H12" s="54">
        <v>930468.63</v>
      </c>
      <c r="I12" s="54">
        <v>1735172.1</v>
      </c>
      <c r="J12" s="54">
        <v>0</v>
      </c>
      <c r="K12" s="54">
        <f>H12+J12+I12</f>
        <v>2665640.73</v>
      </c>
      <c r="L12" s="345">
        <v>42272</v>
      </c>
      <c r="M12" s="65">
        <v>1900025983</v>
      </c>
      <c r="N12" s="3"/>
      <c r="O12" s="74"/>
    </row>
    <row r="13" spans="1:12" ht="12.75">
      <c r="A13" s="198" t="s">
        <v>280</v>
      </c>
      <c r="B13" s="65"/>
      <c r="C13" s="65"/>
      <c r="D13" s="195"/>
      <c r="E13" s="107"/>
      <c r="F13" s="79">
        <f>SUM(F12:F12)</f>
        <v>361066492.71999997</v>
      </c>
      <c r="G13" s="79">
        <f>G12</f>
        <v>0</v>
      </c>
      <c r="H13" s="54"/>
      <c r="I13" s="54"/>
      <c r="J13" s="54"/>
      <c r="K13" s="54"/>
      <c r="L13" s="196"/>
    </row>
    <row r="15" spans="1:11" ht="12.75">
      <c r="A15" s="125" t="s">
        <v>281</v>
      </c>
      <c r="D15" s="195"/>
      <c r="E15" s="107"/>
      <c r="F15" s="54"/>
      <c r="G15" s="54"/>
      <c r="H15" s="54"/>
      <c r="I15" s="54"/>
      <c r="J15" s="54"/>
      <c r="K15" s="54"/>
    </row>
    <row r="16" spans="1:15" ht="12.75">
      <c r="A16" s="1" t="s">
        <v>282</v>
      </c>
      <c r="B16" s="166" t="s">
        <v>283</v>
      </c>
      <c r="C16" s="134">
        <v>38267</v>
      </c>
      <c r="D16" s="195">
        <v>46926</v>
      </c>
      <c r="E16" s="340">
        <v>4040000</v>
      </c>
      <c r="F16" s="54">
        <f>217944453.76-178659.93-180930.47-183229.85-185558.46-187916.66-190304.84-192723.36-195172.62-197653-200164.91-202708.74-205284.9-207893.8-210535.86-213211.49-215921.12-218665.2-227108.44-215707.88-229994.68-229994.68-232917.61-235877.69-238875.38-241911.17-244985.54-248098.98-251251.99-254445.07-257678.74-260953.49-264269.87-267628.39-271029.59-274474.02-277962.22-281494.75-285072.18-288695.07-292364-296079.56-299842.34-303652.94-307511.97-311420.04-315377.77-323444.78-319385.81-327555.33-331718.13-335933.83-340203.1-344526.64-348905.11-353339.24-357829.71-362377.25-366982.59-371646.45-376369.59-381152.75-385996.69-390902.2-395870.05-400901.04-405995.96-411155.63-416380.88-421672.53-427031.43-432458.43-437954.41-443520.23-449156.78-454864.97-460645.7-466499.9-472428.5-478432.44-484512.68-490670.2</f>
        <v>192902821.5399999</v>
      </c>
      <c r="G16" s="54">
        <v>0</v>
      </c>
      <c r="H16" s="126">
        <v>490670.2</v>
      </c>
      <c r="I16" s="126">
        <v>872434.57</v>
      </c>
      <c r="J16" s="126">
        <v>0</v>
      </c>
      <c r="K16" s="126">
        <f>H16+I16+J16</f>
        <v>1363104.77</v>
      </c>
      <c r="L16" s="347">
        <v>42269</v>
      </c>
      <c r="M16" s="346">
        <v>800013413</v>
      </c>
      <c r="N16" s="3"/>
      <c r="O16" s="74"/>
    </row>
    <row r="17" spans="1:13" ht="12.75">
      <c r="A17" s="125" t="s">
        <v>280</v>
      </c>
      <c r="D17" s="195"/>
      <c r="E17" s="199"/>
      <c r="F17" s="79">
        <f>F16</f>
        <v>192902821.5399999</v>
      </c>
      <c r="G17" s="79">
        <f>SUM(G16:G16)</f>
        <v>0</v>
      </c>
      <c r="H17" s="54"/>
      <c r="I17" s="54"/>
      <c r="J17" s="54"/>
      <c r="K17" s="54"/>
      <c r="L17" s="196"/>
      <c r="M17" s="149"/>
    </row>
    <row r="18" spans="4:11" ht="12.75">
      <c r="D18" s="195"/>
      <c r="E18" s="107"/>
      <c r="F18" s="54"/>
      <c r="G18" s="54"/>
      <c r="H18" s="54"/>
      <c r="I18" s="54"/>
      <c r="J18" s="54"/>
      <c r="K18" s="54"/>
    </row>
    <row r="19" spans="1:12" ht="13.5">
      <c r="A19" s="125" t="s">
        <v>412</v>
      </c>
      <c r="D19" s="107"/>
      <c r="E19" s="107"/>
      <c r="F19" s="79"/>
      <c r="G19" s="79"/>
      <c r="H19" s="54"/>
      <c r="I19" s="54"/>
      <c r="J19" s="54"/>
      <c r="K19" s="54"/>
      <c r="L19" s="197"/>
    </row>
    <row r="20" spans="1:14" ht="12.75">
      <c r="A20" s="1" t="s">
        <v>290</v>
      </c>
      <c r="B20" s="159" t="s">
        <v>291</v>
      </c>
      <c r="D20" s="86">
        <v>45747</v>
      </c>
      <c r="E20" s="74">
        <v>1800000</v>
      </c>
      <c r="F20" s="293">
        <f>90000000-833332-833332-833332-833332-833332-833332</f>
        <v>85000008</v>
      </c>
      <c r="G20" s="54">
        <v>0</v>
      </c>
      <c r="H20" s="74">
        <v>833332</v>
      </c>
      <c r="I20" s="74">
        <v>532524.6</v>
      </c>
      <c r="J20" s="293">
        <v>0</v>
      </c>
      <c r="K20" s="54">
        <f>H20+I20+J20</f>
        <v>1365856.6</v>
      </c>
      <c r="L20" s="86">
        <v>42247</v>
      </c>
      <c r="N20" s="1"/>
    </row>
    <row r="21" spans="1:12" ht="12.75">
      <c r="A21" s="125" t="s">
        <v>2</v>
      </c>
      <c r="B21" s="159"/>
      <c r="D21" s="86"/>
      <c r="F21" s="178">
        <f>SUM(F20)</f>
        <v>85000008</v>
      </c>
      <c r="G21" s="79">
        <f>SUM(G20)</f>
        <v>0</v>
      </c>
      <c r="H21" s="74">
        <f>SUM(H4:H20)</f>
        <v>8368236.59</v>
      </c>
      <c r="I21" s="74">
        <f>SUM(I4:I20)</f>
        <v>7779623.51</v>
      </c>
      <c r="L21" s="86"/>
    </row>
    <row r="22" spans="4:12" ht="12.75">
      <c r="D22" s="195"/>
      <c r="E22" s="107"/>
      <c r="F22" s="54"/>
      <c r="G22" s="54"/>
      <c r="H22" s="54"/>
      <c r="I22" s="54"/>
      <c r="J22" s="54"/>
      <c r="K22" s="54"/>
      <c r="L22" s="196"/>
    </row>
    <row r="23" spans="8:11" ht="12.75">
      <c r="H23" s="74"/>
      <c r="I23" s="74"/>
      <c r="K23" s="154"/>
    </row>
    <row r="24" spans="1:11" ht="12.75">
      <c r="A24" s="125" t="s">
        <v>292</v>
      </c>
      <c r="B24" s="63"/>
      <c r="C24" s="63"/>
      <c r="D24" s="107"/>
      <c r="E24" s="107"/>
      <c r="F24" s="54"/>
      <c r="G24" s="54"/>
      <c r="H24" s="54">
        <f>H4+I4+H8+I8+H9+I9+H12+I12+H20+I20+'PAGOS OOMAPAS'!B6</f>
        <v>18231552.65</v>
      </c>
      <c r="I24" s="54"/>
      <c r="J24" s="75"/>
      <c r="K24" s="54"/>
    </row>
    <row r="25" spans="1:11" ht="12.75">
      <c r="A25" s="5" t="s">
        <v>293</v>
      </c>
      <c r="B25" s="63"/>
      <c r="C25" s="63"/>
      <c r="D25" s="107"/>
      <c r="E25" s="234" t="s">
        <v>98</v>
      </c>
      <c r="F25" s="54">
        <f>G25*G31</f>
        <v>0</v>
      </c>
      <c r="G25" s="54">
        <f>E12</f>
        <v>0</v>
      </c>
      <c r="H25" s="54"/>
      <c r="I25" s="54"/>
      <c r="J25" s="54"/>
      <c r="K25" s="54"/>
    </row>
    <row r="26" spans="4:11" ht="12.75">
      <c r="D26" s="107"/>
      <c r="E26" s="107"/>
      <c r="F26" s="54"/>
      <c r="G26" s="54"/>
      <c r="H26" s="54"/>
      <c r="I26" s="54"/>
      <c r="J26" s="54"/>
      <c r="K26" s="54"/>
    </row>
    <row r="27" spans="1:11" ht="12.75">
      <c r="A27" s="125" t="s">
        <v>294</v>
      </c>
      <c r="B27" s="74"/>
      <c r="D27" s="107"/>
      <c r="E27" s="107"/>
      <c r="F27" s="79">
        <f>F25</f>
        <v>0</v>
      </c>
      <c r="G27" s="79">
        <f>G25</f>
        <v>0</v>
      </c>
      <c r="H27" s="54"/>
      <c r="I27" s="54"/>
      <c r="K27" s="54"/>
    </row>
    <row r="28" spans="4:11" ht="12.75">
      <c r="D28" s="107"/>
      <c r="E28" s="107"/>
      <c r="F28" s="54"/>
      <c r="G28" s="54"/>
      <c r="H28" s="54"/>
      <c r="I28" s="54"/>
      <c r="J28" s="54"/>
      <c r="K28" s="54"/>
    </row>
    <row r="29" spans="1:11" ht="12.75">
      <c r="A29" s="125" t="s">
        <v>19</v>
      </c>
      <c r="D29" s="107"/>
      <c r="E29" s="107"/>
      <c r="F29" s="79">
        <f>F13+F17+F5+F10+F21-F27</f>
        <v>1407830782.77</v>
      </c>
      <c r="G29" s="79">
        <f>G13+G17+G5+G10+G21-G27</f>
        <v>0</v>
      </c>
      <c r="H29" s="54"/>
      <c r="I29" s="54"/>
      <c r="J29" s="54"/>
      <c r="K29" s="54"/>
    </row>
    <row r="30" spans="4:7" ht="12.75">
      <c r="D30" s="107"/>
      <c r="E30" s="107"/>
      <c r="F30" s="74"/>
      <c r="G30" s="74"/>
    </row>
    <row r="31" spans="4:8" ht="12.75">
      <c r="D31" s="107"/>
      <c r="E31" s="107"/>
      <c r="F31" s="411" t="s">
        <v>413</v>
      </c>
      <c r="G31" s="413">
        <v>5.447098</v>
      </c>
      <c r="H31" s="200"/>
    </row>
    <row r="32" spans="4:8" ht="12.75">
      <c r="D32" s="107"/>
      <c r="E32" s="107"/>
      <c r="F32" s="412"/>
      <c r="G32" s="414"/>
      <c r="H32" s="200"/>
    </row>
    <row r="33" spans="4:7" ht="12.75">
      <c r="D33" s="107"/>
      <c r="E33" s="107"/>
      <c r="F33" s="74"/>
      <c r="G33" s="74"/>
    </row>
    <row r="34" spans="4:7" ht="12.75">
      <c r="D34" s="107"/>
      <c r="E34" s="107"/>
      <c r="F34" s="74"/>
      <c r="G34" s="74"/>
    </row>
    <row r="35" spans="4:7" ht="12.75">
      <c r="D35" s="107"/>
      <c r="E35" s="107"/>
      <c r="F35" s="74"/>
      <c r="G35" s="74"/>
    </row>
    <row r="36" spans="4:7" ht="12.75">
      <c r="D36" s="107"/>
      <c r="E36" s="107"/>
      <c r="F36" s="74"/>
      <c r="G36" s="201"/>
    </row>
    <row r="37" spans="4:7" ht="12.75">
      <c r="D37" s="107"/>
      <c r="E37" s="415"/>
      <c r="F37" s="415"/>
      <c r="G37" s="74"/>
    </row>
    <row r="38" spans="4:7" ht="12.75">
      <c r="D38" s="107"/>
      <c r="E38" s="107"/>
      <c r="F38" s="74"/>
      <c r="G38" s="74"/>
    </row>
    <row r="39" spans="4:7" ht="12.75">
      <c r="D39" s="107"/>
      <c r="E39" s="107"/>
      <c r="F39" s="74"/>
      <c r="G39" s="74"/>
    </row>
    <row r="40" spans="4:7" ht="12.75">
      <c r="D40" s="107"/>
      <c r="E40" s="107"/>
      <c r="F40" s="74"/>
      <c r="G40" s="74"/>
    </row>
    <row r="41" spans="4:7" ht="12.75">
      <c r="D41" s="107"/>
      <c r="E41" s="107"/>
      <c r="F41" s="74"/>
      <c r="G41" s="74"/>
    </row>
    <row r="42" spans="4:7" ht="12.75">
      <c r="D42" s="107"/>
      <c r="E42" s="107"/>
      <c r="F42" s="74"/>
      <c r="G42" s="74"/>
    </row>
    <row r="43" spans="4:7" ht="12.75">
      <c r="D43" s="107"/>
      <c r="E43" s="107"/>
      <c r="F43" s="74"/>
      <c r="G43" s="74"/>
    </row>
    <row r="44" spans="6:7" ht="12.75">
      <c r="F44" s="74"/>
      <c r="G44" s="74"/>
    </row>
    <row r="45" spans="6:7" ht="12.75">
      <c r="F45" s="74"/>
      <c r="G45" s="74"/>
    </row>
    <row r="46" spans="6:7" ht="12.75">
      <c r="F46" s="74"/>
      <c r="G46" s="74"/>
    </row>
    <row r="47" spans="6:7" ht="12.75">
      <c r="F47" s="74"/>
      <c r="G47" s="74"/>
    </row>
  </sheetData>
  <sheetProtection/>
  <mergeCells count="8">
    <mergeCell ref="M1:M2"/>
    <mergeCell ref="F31:F32"/>
    <mergeCell ref="G31:G32"/>
    <mergeCell ref="E37:F37"/>
    <mergeCell ref="B1:B2"/>
    <mergeCell ref="C1:C2"/>
    <mergeCell ref="H1:J1"/>
    <mergeCell ref="K1:K2"/>
  </mergeCells>
  <printOptions horizontalCentered="1"/>
  <pageMargins left="0.15748031496062992" right="0.15748031496062992" top="1.6535433070866143" bottom="0.3937007874015748" header="0" footer="0.1968503937007874"/>
  <pageSetup horizontalDpi="300" verticalDpi="300" orientation="landscape" scale="65" r:id="rId2"/>
  <headerFooter alignWithMargins="0">
    <oddHeader>&amp;L&amp;G&amp;C&amp;"Arial,Negrita"
GOBIERNO DEL ESTADO DE SONORA
DIRECCIÓN DE CRÉDITO PÚBLICO
RELACIÓN DE DEUDA ORGANISMOS SEPTIEMBRE 2016</oddHeader>
    <oddFooter>&amp;CPágina &amp;P de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workbookViewId="0" topLeftCell="A1">
      <selection activeCell="C1" sqref="C1"/>
    </sheetView>
  </sheetViews>
  <sheetFormatPr defaultColWidth="11.421875" defaultRowHeight="12.75"/>
  <cols>
    <col min="1" max="1" width="52.57421875" style="1" customWidth="1"/>
    <col min="2" max="2" width="29.140625" style="1" customWidth="1"/>
    <col min="3" max="3" width="17.7109375" style="1" customWidth="1"/>
    <col min="4" max="4" width="11.7109375" style="1" bestFit="1" customWidth="1"/>
    <col min="5" max="5" width="15.28125" style="1" bestFit="1" customWidth="1"/>
    <col min="6" max="6" width="11.421875" style="1" customWidth="1"/>
    <col min="7" max="7" width="15.28125" style="1" bestFit="1" customWidth="1"/>
    <col min="8" max="16384" width="11.421875" style="1" customWidth="1"/>
  </cols>
  <sheetData>
    <row r="1" spans="1:3" ht="12.75">
      <c r="A1" s="389" t="s">
        <v>21</v>
      </c>
      <c r="B1" s="202" t="s">
        <v>295</v>
      </c>
      <c r="C1" s="202" t="s">
        <v>295</v>
      </c>
    </row>
    <row r="2" spans="1:3" ht="12.75">
      <c r="A2" s="390"/>
      <c r="B2" s="203" t="s">
        <v>22</v>
      </c>
      <c r="C2" s="204" t="s">
        <v>23</v>
      </c>
    </row>
    <row r="3" spans="1:3" ht="12.75">
      <c r="A3" s="5" t="str">
        <f>'RELACION DE DEUDA DE ORGANISMOS'!A12</f>
        <v>353  BANCO DEL BAJIO/CEA</v>
      </c>
      <c r="B3" s="54">
        <f>+'RELACION DE DEUDA DE ORGANISMOS'!F12</f>
        <v>361066492.71999997</v>
      </c>
      <c r="C3" s="54"/>
    </row>
    <row r="4" spans="1:3" ht="12.75">
      <c r="A4" s="125" t="s">
        <v>296</v>
      </c>
      <c r="B4" s="176">
        <f>SUM(B3:B3)</f>
        <v>361066492.71999997</v>
      </c>
      <c r="C4" s="79">
        <f>C3</f>
        <v>0</v>
      </c>
    </row>
    <row r="5" spans="1:3" ht="12.75">
      <c r="A5" s="5"/>
      <c r="B5" s="54"/>
      <c r="C5" s="54"/>
    </row>
    <row r="6" spans="1:3" ht="12.75">
      <c r="A6" s="125"/>
      <c r="B6" s="79"/>
      <c r="C6" s="79"/>
    </row>
    <row r="7" spans="1:3" ht="12.75">
      <c r="A7" s="125" t="s">
        <v>281</v>
      </c>
      <c r="B7" s="74"/>
      <c r="C7" s="74"/>
    </row>
    <row r="8" spans="1:5" ht="12.75">
      <c r="A8" s="5" t="s">
        <v>297</v>
      </c>
      <c r="B8" s="54">
        <f>+'RELACION DE DEUDA DE ORGANISMOS'!F16</f>
        <v>192902821.5399999</v>
      </c>
      <c r="C8" s="79">
        <v>0</v>
      </c>
      <c r="E8" s="3"/>
    </row>
    <row r="9" spans="1:3" ht="12.75">
      <c r="A9" s="125" t="s">
        <v>296</v>
      </c>
      <c r="B9" s="79">
        <f>SUM(B8:B8)</f>
        <v>192902821.5399999</v>
      </c>
      <c r="C9" s="79">
        <f>SUM(C8:C8)</f>
        <v>0</v>
      </c>
    </row>
    <row r="10" spans="1:3" ht="12.75">
      <c r="A10" s="125"/>
      <c r="B10" s="79"/>
      <c r="C10" s="79"/>
    </row>
    <row r="11" spans="1:3" ht="12.75">
      <c r="A11" s="125" t="s">
        <v>284</v>
      </c>
      <c r="B11" s="54"/>
      <c r="C11" s="54"/>
    </row>
    <row r="12" spans="1:3" ht="12.75">
      <c r="A12" s="5" t="s">
        <v>285</v>
      </c>
      <c r="B12" s="54">
        <f>+'RELACION DE DEUDA DE ORGANISMOS'!F4</f>
        <v>432194840.7299997</v>
      </c>
      <c r="C12" s="54">
        <v>0</v>
      </c>
    </row>
    <row r="13" spans="1:3" ht="12.75">
      <c r="A13" s="125" t="s">
        <v>296</v>
      </c>
      <c r="B13" s="79">
        <f>SUM(B12:B12)</f>
        <v>432194840.7299997</v>
      </c>
      <c r="C13" s="79">
        <f>SUM(C12:C12)</f>
        <v>0</v>
      </c>
    </row>
    <row r="14" spans="1:3" ht="12.75">
      <c r="A14" s="5"/>
      <c r="B14" s="54"/>
      <c r="C14" s="54"/>
    </row>
    <row r="15" spans="1:3" ht="12.75">
      <c r="A15" s="125" t="s">
        <v>286</v>
      </c>
      <c r="B15" s="54"/>
      <c r="C15" s="54"/>
    </row>
    <row r="16" spans="1:3" ht="12.75">
      <c r="A16" s="5" t="s">
        <v>287</v>
      </c>
      <c r="B16" s="54">
        <f>'RELACION DE DEUDA DE ORGANISMOS'!F8</f>
        <v>219999999.78000042</v>
      </c>
      <c r="C16" s="54">
        <f>'RELACION DE DEUDA DE ORGANISMOS'!G8</f>
        <v>0</v>
      </c>
    </row>
    <row r="17" spans="1:3" ht="12.75">
      <c r="A17" s="5" t="str">
        <f>'RELACION DE DEUDA DE ORGANISMOS'!A9</f>
        <v>002 MIFEL CS 200 MDP</v>
      </c>
      <c r="B17" s="54">
        <f>'RELACION DE DEUDA DE ORGANISMOS'!F9</f>
        <v>116666620</v>
      </c>
      <c r="C17" s="54">
        <f>'RELACION DE DEUDA DE ORGANISMOS'!G9</f>
        <v>0</v>
      </c>
    </row>
    <row r="18" spans="1:3" ht="12.75">
      <c r="A18" s="125" t="s">
        <v>296</v>
      </c>
      <c r="B18" s="79">
        <f>B16+B17</f>
        <v>336666619.78000045</v>
      </c>
      <c r="C18" s="79">
        <f>'RELACION DE DEUDA DE ORGANISMOS'!G10</f>
        <v>0</v>
      </c>
    </row>
    <row r="19" spans="1:3" ht="12.75">
      <c r="A19" s="5"/>
      <c r="B19" s="54"/>
      <c r="C19" s="54"/>
    </row>
    <row r="20" spans="1:3" ht="12.75">
      <c r="A20" s="125" t="s">
        <v>289</v>
      </c>
      <c r="B20" s="74"/>
      <c r="C20" s="54"/>
    </row>
    <row r="21" spans="1:3" ht="12.75">
      <c r="A21" s="1" t="s">
        <v>290</v>
      </c>
      <c r="B21" s="256">
        <f>'RELACION DE DEUDA DE ORGANISMOS'!F20</f>
        <v>85000008</v>
      </c>
      <c r="C21" s="235">
        <v>0</v>
      </c>
    </row>
    <row r="22" spans="1:3" ht="12.75">
      <c r="A22" s="125" t="s">
        <v>2</v>
      </c>
      <c r="B22" s="172">
        <f>SUM(B21)</f>
        <v>85000008</v>
      </c>
      <c r="C22" s="79">
        <f>SUM(C21)</f>
        <v>0</v>
      </c>
    </row>
    <row r="23" spans="1:3" ht="12.75">
      <c r="A23" s="5"/>
      <c r="B23" s="54"/>
      <c r="C23" s="54"/>
    </row>
    <row r="24" spans="1:3" ht="12.75">
      <c r="A24" s="125" t="s">
        <v>294</v>
      </c>
      <c r="B24" s="54">
        <f>C24*C29</f>
        <v>0</v>
      </c>
      <c r="C24" s="54">
        <f>'RELACION DE DEUDA DE ORGANISMOS'!G25</f>
        <v>0</v>
      </c>
    </row>
    <row r="25" spans="1:3" ht="12.75">
      <c r="A25" s="5"/>
      <c r="B25" s="54"/>
      <c r="C25" s="54"/>
    </row>
    <row r="26" spans="1:7" ht="12.75">
      <c r="A26" s="125" t="s">
        <v>19</v>
      </c>
      <c r="B26" s="79">
        <f>B4+B9+B13+B18+B22-B24</f>
        <v>1407830782.77</v>
      </c>
      <c r="C26" s="79">
        <f>C4+C9+C13+C18+C22-C24</f>
        <v>0</v>
      </c>
      <c r="E26" s="3">
        <f>'RELACION DE DEUDA DE ORGANISMOS'!F29</f>
        <v>1407830782.77</v>
      </c>
      <c r="F26" s="3"/>
      <c r="G26" s="3"/>
    </row>
    <row r="27" spans="1:5" ht="12.75">
      <c r="A27" s="5"/>
      <c r="B27" s="74"/>
      <c r="C27" s="74"/>
      <c r="E27" s="3">
        <f>B26-E26</f>
        <v>0</v>
      </c>
    </row>
    <row r="28" spans="1:3" ht="13.5">
      <c r="A28" s="5"/>
      <c r="B28" s="205" t="s">
        <v>95</v>
      </c>
      <c r="C28" s="206"/>
    </row>
    <row r="29" spans="2:3" ht="12.75">
      <c r="B29" s="207">
        <v>42520</v>
      </c>
      <c r="C29" s="138">
        <v>5.422145</v>
      </c>
    </row>
    <row r="33" ht="12.75">
      <c r="D33" s="138"/>
    </row>
    <row r="36" ht="12.75">
      <c r="D36" s="138"/>
    </row>
  </sheetData>
  <sheetProtection/>
  <mergeCells count="1">
    <mergeCell ref="A1:A2"/>
  </mergeCells>
  <printOptions horizontalCentered="1"/>
  <pageMargins left="0.7480314960629921" right="0.7480314960629921" top="1.6141732283464567" bottom="0.984251968503937" header="0" footer="0"/>
  <pageSetup fitToHeight="1" fitToWidth="1" horizontalDpi="600" verticalDpi="600" orientation="landscape" r:id="rId2"/>
  <headerFooter alignWithMargins="0">
    <oddHeader>&amp;L&amp;G&amp;C
&amp;"Arial,Negrita"GOBIERNO DEL ESTADO DE SONORA
DIRECCIÓN DE CRÉDITO PÚBLICO
RELACIÓN DE SALDOS ORGANISMOS SEPTIEMBRE 2016</oddHeader>
    <oddFooter>&amp;CPágina &amp;P de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view="pageBreakPreview" zoomScaleSheetLayoutView="100" workbookViewId="0" topLeftCell="A1">
      <selection activeCell="B6" sqref="B6"/>
    </sheetView>
  </sheetViews>
  <sheetFormatPr defaultColWidth="11.421875" defaultRowHeight="12.75"/>
  <cols>
    <col min="1" max="1" width="30.421875" style="1" customWidth="1"/>
    <col min="2" max="2" width="16.57421875" style="1" bestFit="1" customWidth="1"/>
    <col min="3" max="3" width="14.8515625" style="1" bestFit="1" customWidth="1"/>
    <col min="4" max="4" width="13.7109375" style="1" bestFit="1" customWidth="1"/>
    <col min="5" max="16384" width="11.421875" style="1" customWidth="1"/>
  </cols>
  <sheetData>
    <row r="2" spans="1:4" ht="12.75" customHeight="1">
      <c r="A2" s="386" t="s">
        <v>21</v>
      </c>
      <c r="B2" s="84" t="s">
        <v>298</v>
      </c>
      <c r="C2" s="84" t="s">
        <v>299</v>
      </c>
      <c r="D2" s="425" t="s">
        <v>300</v>
      </c>
    </row>
    <row r="3" spans="1:5" ht="12.75">
      <c r="A3" s="386"/>
      <c r="B3" s="84" t="s">
        <v>22</v>
      </c>
      <c r="C3" s="84" t="s">
        <v>301</v>
      </c>
      <c r="D3" s="426"/>
      <c r="E3" s="5"/>
    </row>
    <row r="5" spans="1:4" ht="12.75">
      <c r="A5" s="1" t="s">
        <v>302</v>
      </c>
      <c r="B5" s="63">
        <v>2547196.44</v>
      </c>
      <c r="C5" s="1">
        <v>1700005751</v>
      </c>
      <c r="D5" s="112">
        <v>42636</v>
      </c>
    </row>
    <row r="6" spans="1:6" ht="12.75">
      <c r="A6" s="5" t="s">
        <v>303</v>
      </c>
      <c r="B6" s="63">
        <v>3446797.32</v>
      </c>
      <c r="C6" s="350">
        <v>1900033733</v>
      </c>
      <c r="D6" s="86">
        <v>42627</v>
      </c>
      <c r="F6" s="5" t="s">
        <v>123</v>
      </c>
    </row>
    <row r="7" spans="1:2" ht="12.75">
      <c r="A7" s="78" t="s">
        <v>2</v>
      </c>
      <c r="B7" s="182">
        <f>SUM(B5:B6)</f>
        <v>5993993.76</v>
      </c>
    </row>
    <row r="10" ht="12.75">
      <c r="C10" s="63"/>
    </row>
    <row r="11" ht="12.75">
      <c r="C11" s="63"/>
    </row>
    <row r="12" ht="12.75">
      <c r="C12" s="63"/>
    </row>
    <row r="13" spans="3:4" ht="12.75">
      <c r="C13" s="63"/>
      <c r="D13" s="5"/>
    </row>
    <row r="14" spans="3:4" ht="12.75">
      <c r="C14" s="63"/>
      <c r="D14" s="5"/>
    </row>
    <row r="15" spans="3:4" ht="12.75">
      <c r="C15" s="63"/>
      <c r="D15" s="5"/>
    </row>
    <row r="17" spans="3:4" ht="12.75">
      <c r="C17" s="141"/>
      <c r="D17" s="127"/>
    </row>
    <row r="18" spans="3:4" ht="12.75">
      <c r="C18" s="141"/>
      <c r="D18" s="127"/>
    </row>
  </sheetData>
  <sheetProtection/>
  <mergeCells count="2">
    <mergeCell ref="A2:A3"/>
    <mergeCell ref="D2:D3"/>
  </mergeCells>
  <printOptions horizontalCentered="1"/>
  <pageMargins left="0.7480314960629921" right="0.7480314960629921" top="1.6141732283464567" bottom="0.984251968503937" header="0" footer="0"/>
  <pageSetup fitToHeight="1" fitToWidth="1" horizontalDpi="600" verticalDpi="600" orientation="landscape" r:id="rId2"/>
  <headerFooter alignWithMargins="0">
    <oddHeader>&amp;L&amp;G&amp;C
&amp;"Arial,Negrita"GOBIERNO DEL ESTADO DE SONORA
DIRECCIÓN DE CRÉDITO PÚBLICO
PAGOS OOMAPAS CAJEME SEPTIEMBRE 2016</oddHeader>
    <oddFooter>&amp;CPágina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view="pageBreakPreview" zoomScaleSheetLayoutView="100" zoomScalePageLayoutView="90" workbookViewId="0" topLeftCell="A1">
      <selection activeCell="B23" sqref="B23"/>
    </sheetView>
  </sheetViews>
  <sheetFormatPr defaultColWidth="11.421875" defaultRowHeight="12.75"/>
  <cols>
    <col min="1" max="1" width="55.00390625" style="1" customWidth="1"/>
    <col min="2" max="2" width="16.57421875" style="1" bestFit="1" customWidth="1"/>
    <col min="3" max="3" width="15.421875" style="1" bestFit="1" customWidth="1"/>
    <col min="4" max="4" width="15.421875" style="1" customWidth="1"/>
    <col min="5" max="5" width="16.57421875" style="1" bestFit="1" customWidth="1"/>
    <col min="6" max="6" width="12.28125" style="1" customWidth="1"/>
    <col min="7" max="8" width="14.7109375" style="68" customWidth="1"/>
    <col min="9" max="9" width="14.00390625" style="1" bestFit="1" customWidth="1"/>
    <col min="10" max="10" width="11.421875" style="1" customWidth="1"/>
    <col min="11" max="11" width="13.8515625" style="1" bestFit="1" customWidth="1"/>
    <col min="12" max="16384" width="11.421875" style="1" customWidth="1"/>
  </cols>
  <sheetData>
    <row r="2" spans="1:8" ht="12.75">
      <c r="A2" s="367"/>
      <c r="B2" s="367"/>
      <c r="C2" s="367"/>
      <c r="D2" s="367"/>
      <c r="E2" s="367"/>
      <c r="F2" s="367"/>
      <c r="G2" s="367"/>
      <c r="H2" s="50"/>
    </row>
    <row r="3" spans="1:8" ht="12.75">
      <c r="A3" s="370" t="s">
        <v>0</v>
      </c>
      <c r="B3" s="372" t="s">
        <v>1</v>
      </c>
      <c r="C3" s="373"/>
      <c r="D3" s="368" t="s">
        <v>416</v>
      </c>
      <c r="E3" s="368" t="s">
        <v>2</v>
      </c>
      <c r="F3" s="55" t="s">
        <v>3</v>
      </c>
      <c r="G3" s="374" t="s">
        <v>4</v>
      </c>
      <c r="H3" s="238"/>
    </row>
    <row r="4" spans="1:8" ht="12.75">
      <c r="A4" s="371"/>
      <c r="B4" s="56" t="s">
        <v>5</v>
      </c>
      <c r="C4" s="236" t="s">
        <v>6</v>
      </c>
      <c r="D4" s="369"/>
      <c r="E4" s="369"/>
      <c r="F4" s="58" t="s">
        <v>7</v>
      </c>
      <c r="G4" s="375"/>
      <c r="H4" s="238"/>
    </row>
    <row r="5" spans="1:9" ht="12.75">
      <c r="A5" s="2" t="s">
        <v>8</v>
      </c>
      <c r="B5" s="277">
        <v>8178701.23</v>
      </c>
      <c r="C5" s="277">
        <v>7781604.56</v>
      </c>
      <c r="D5" s="277"/>
      <c r="E5" s="277">
        <f>B5+C5+D5</f>
        <v>15960305.79</v>
      </c>
      <c r="F5" s="278">
        <v>42618</v>
      </c>
      <c r="G5" s="53"/>
      <c r="H5" s="10"/>
      <c r="I5" s="3"/>
    </row>
    <row r="6" spans="1:9" ht="12.75">
      <c r="A6" s="2" t="s">
        <v>9</v>
      </c>
      <c r="B6" s="277">
        <v>1349887.46</v>
      </c>
      <c r="C6" s="277">
        <v>1284347</v>
      </c>
      <c r="D6" s="277"/>
      <c r="E6" s="277">
        <f aca="true" t="shared" si="0" ref="E6:E25">B6+C6+D6</f>
        <v>2634234.46</v>
      </c>
      <c r="F6" s="278">
        <v>42618</v>
      </c>
      <c r="G6" s="53"/>
      <c r="H6" s="10"/>
      <c r="I6" s="3"/>
    </row>
    <row r="7" spans="1:9" ht="12.75">
      <c r="A7" s="4" t="s">
        <v>10</v>
      </c>
      <c r="B7" s="277">
        <v>1393612.91</v>
      </c>
      <c r="C7" s="277">
        <v>1476675.66</v>
      </c>
      <c r="D7" s="277"/>
      <c r="E7" s="277">
        <f t="shared" si="0"/>
        <v>2870288.57</v>
      </c>
      <c r="F7" s="279">
        <v>42635</v>
      </c>
      <c r="G7" s="53"/>
      <c r="H7" s="10"/>
      <c r="I7" s="3"/>
    </row>
    <row r="8" spans="1:9" ht="12.75">
      <c r="A8" s="2" t="s">
        <v>11</v>
      </c>
      <c r="B8" s="280">
        <v>1043794.01</v>
      </c>
      <c r="C8" s="277">
        <v>1085704.21</v>
      </c>
      <c r="D8" s="277"/>
      <c r="E8" s="277">
        <f t="shared" si="0"/>
        <v>2129498.2199999997</v>
      </c>
      <c r="F8" s="278">
        <v>42635</v>
      </c>
      <c r="G8" s="53"/>
      <c r="H8" s="10"/>
      <c r="I8" s="3"/>
    </row>
    <row r="9" spans="1:9" ht="12.75">
      <c r="A9" s="41" t="s">
        <v>414</v>
      </c>
      <c r="B9" s="277">
        <v>0</v>
      </c>
      <c r="C9" s="277">
        <v>0</v>
      </c>
      <c r="D9" s="277"/>
      <c r="E9" s="277">
        <f t="shared" si="0"/>
        <v>0</v>
      </c>
      <c r="F9" s="278">
        <v>42598</v>
      </c>
      <c r="G9" s="53"/>
      <c r="H9" s="10"/>
      <c r="I9" s="3"/>
    </row>
    <row r="10" spans="1:9" ht="12.75">
      <c r="A10" s="281" t="s">
        <v>12</v>
      </c>
      <c r="B10" s="282">
        <v>2116106.92</v>
      </c>
      <c r="C10" s="282">
        <v>23794310.15</v>
      </c>
      <c r="D10" s="282">
        <v>5095040.84</v>
      </c>
      <c r="E10" s="277">
        <f t="shared" si="0"/>
        <v>31005457.91</v>
      </c>
      <c r="F10" s="278">
        <v>42632</v>
      </c>
      <c r="G10" s="53"/>
      <c r="H10" s="10"/>
      <c r="I10" s="3"/>
    </row>
    <row r="11" spans="1:9" ht="12.75">
      <c r="A11" s="283" t="s">
        <v>13</v>
      </c>
      <c r="B11" s="282">
        <v>2952847.06</v>
      </c>
      <c r="C11" s="282">
        <v>2881537.84</v>
      </c>
      <c r="D11" s="282">
        <v>2509.23</v>
      </c>
      <c r="E11" s="277">
        <f t="shared" si="0"/>
        <v>5836894.130000001</v>
      </c>
      <c r="F11" s="278">
        <v>42639</v>
      </c>
      <c r="G11" s="53"/>
      <c r="H11" s="10"/>
      <c r="I11" s="3"/>
    </row>
    <row r="12" spans="1:9" ht="12.75">
      <c r="A12" s="284" t="str">
        <f>'SALDOS  DIRECTA'!A15</f>
        <v>D045 INTERACCIONES CS 2013 1,000 MDP 365089</v>
      </c>
      <c r="B12" s="277">
        <v>5985456</v>
      </c>
      <c r="C12" s="277">
        <v>6013693.8</v>
      </c>
      <c r="D12" s="277"/>
      <c r="E12" s="277">
        <f t="shared" si="0"/>
        <v>11999149.8</v>
      </c>
      <c r="F12" s="278">
        <v>42643</v>
      </c>
      <c r="G12" s="285"/>
      <c r="H12" s="146"/>
      <c r="I12" s="3"/>
    </row>
    <row r="13" spans="1:9" ht="12.75">
      <c r="A13" s="286" t="s">
        <v>401</v>
      </c>
      <c r="B13" s="277">
        <v>0</v>
      </c>
      <c r="C13" s="277">
        <v>4632937.8</v>
      </c>
      <c r="D13" s="277"/>
      <c r="E13" s="277">
        <f t="shared" si="0"/>
        <v>4632937.8</v>
      </c>
      <c r="F13" s="278">
        <v>42643</v>
      </c>
      <c r="G13" s="285"/>
      <c r="H13" s="146"/>
      <c r="I13" s="3"/>
    </row>
    <row r="14" spans="1:9" ht="12.75">
      <c r="A14" s="286" t="s">
        <v>387</v>
      </c>
      <c r="B14" s="277">
        <v>61394042.67</v>
      </c>
      <c r="C14" s="277">
        <v>1329180.9</v>
      </c>
      <c r="D14" s="277"/>
      <c r="E14" s="277">
        <f t="shared" si="0"/>
        <v>62723223.57</v>
      </c>
      <c r="F14" s="278">
        <v>42643</v>
      </c>
      <c r="G14" s="285"/>
      <c r="H14" s="146"/>
      <c r="I14" s="3"/>
    </row>
    <row r="15" spans="1:9" ht="12.75">
      <c r="A15" s="6" t="s">
        <v>344</v>
      </c>
      <c r="B15" s="277">
        <v>8195694.44</v>
      </c>
      <c r="C15" s="277">
        <v>4087369.5</v>
      </c>
      <c r="D15" s="277">
        <v>3166.05</v>
      </c>
      <c r="E15" s="277">
        <f t="shared" si="0"/>
        <v>12286229.990000002</v>
      </c>
      <c r="F15" s="278">
        <v>42643</v>
      </c>
      <c r="G15" s="53"/>
      <c r="H15" s="10"/>
      <c r="I15" s="3"/>
    </row>
    <row r="16" spans="1:9" ht="12.75">
      <c r="A16" s="287" t="s">
        <v>14</v>
      </c>
      <c r="B16" s="277">
        <v>270489.1</v>
      </c>
      <c r="C16" s="277">
        <v>1441950.08</v>
      </c>
      <c r="D16" s="277"/>
      <c r="E16" s="277">
        <f t="shared" si="0"/>
        <v>1712439.1800000002</v>
      </c>
      <c r="F16" s="278">
        <v>42620</v>
      </c>
      <c r="G16" s="53"/>
      <c r="H16" s="73"/>
      <c r="I16" s="3"/>
    </row>
    <row r="17" spans="1:9" ht="12.75">
      <c r="A17" s="59" t="s">
        <v>15</v>
      </c>
      <c r="B17" s="277">
        <v>249682.25</v>
      </c>
      <c r="C17" s="277">
        <v>1331030.84</v>
      </c>
      <c r="D17" s="277"/>
      <c r="E17" s="277">
        <f t="shared" si="0"/>
        <v>1580713.09</v>
      </c>
      <c r="F17" s="278">
        <v>42620</v>
      </c>
      <c r="G17" s="53"/>
      <c r="H17" s="10"/>
      <c r="I17" s="3"/>
    </row>
    <row r="18" spans="1:9" ht="12.75">
      <c r="A18" s="59" t="s">
        <v>16</v>
      </c>
      <c r="B18" s="277">
        <v>260733.23</v>
      </c>
      <c r="C18" s="277">
        <v>1571792.34</v>
      </c>
      <c r="D18" s="277"/>
      <c r="E18" s="277">
        <f t="shared" si="0"/>
        <v>1832525.57</v>
      </c>
      <c r="F18" s="278">
        <v>42618</v>
      </c>
      <c r="G18" s="53"/>
      <c r="H18" s="10"/>
      <c r="I18" s="3"/>
    </row>
    <row r="19" spans="1:9" ht="12.75">
      <c r="A19" s="287" t="s">
        <v>17</v>
      </c>
      <c r="B19" s="277">
        <v>44390.49</v>
      </c>
      <c r="C19" s="277">
        <v>296861.87</v>
      </c>
      <c r="D19" s="277"/>
      <c r="E19" s="277">
        <f t="shared" si="0"/>
        <v>341252.36</v>
      </c>
      <c r="F19" s="278">
        <v>42643</v>
      </c>
      <c r="G19" s="53"/>
      <c r="H19" s="10"/>
      <c r="I19" s="3"/>
    </row>
    <row r="20" spans="1:9" ht="12.75">
      <c r="A20" s="287" t="s">
        <v>18</v>
      </c>
      <c r="B20" s="277">
        <v>525694.13</v>
      </c>
      <c r="C20" s="277">
        <v>3465753.5</v>
      </c>
      <c r="D20" s="277"/>
      <c r="E20" s="277">
        <f t="shared" si="0"/>
        <v>3991447.63</v>
      </c>
      <c r="F20" s="278">
        <v>42643</v>
      </c>
      <c r="G20" s="53"/>
      <c r="H20" s="10"/>
      <c r="I20" s="3"/>
    </row>
    <row r="21" spans="1:11" ht="12.75">
      <c r="A21" s="59" t="str">
        <f>'SALDOS  DIRECTA'!A30</f>
        <v>BANOBRAS 2,040 MDP 2014 Registro 002</v>
      </c>
      <c r="B21" s="277">
        <v>1669431.86</v>
      </c>
      <c r="C21" s="277">
        <v>9483468.66</v>
      </c>
      <c r="D21" s="277"/>
      <c r="E21" s="277">
        <f t="shared" si="0"/>
        <v>11152900.52</v>
      </c>
      <c r="F21" s="278">
        <v>42639</v>
      </c>
      <c r="G21" s="53"/>
      <c r="H21" s="10"/>
      <c r="I21" s="3"/>
      <c r="K21" s="288"/>
    </row>
    <row r="22" spans="1:9" ht="12.75">
      <c r="A22" s="59" t="str">
        <f>'SALDOS  DIRECTA'!A31</f>
        <v>BANOBRAS 1,730 MDP 2014 Registro 001</v>
      </c>
      <c r="B22" s="277">
        <v>1399225.91</v>
      </c>
      <c r="C22" s="277">
        <v>7948521.54</v>
      </c>
      <c r="D22" s="277"/>
      <c r="E22" s="277">
        <f t="shared" si="0"/>
        <v>9347747.45</v>
      </c>
      <c r="F22" s="278">
        <v>42639</v>
      </c>
      <c r="G22" s="53"/>
      <c r="H22" s="10"/>
      <c r="I22" s="3"/>
    </row>
    <row r="23" spans="1:9" ht="12.75">
      <c r="A23" s="287" t="s">
        <v>435</v>
      </c>
      <c r="B23" s="277">
        <v>0</v>
      </c>
      <c r="C23" s="277">
        <v>0</v>
      </c>
      <c r="D23" s="277"/>
      <c r="E23" s="277">
        <f t="shared" si="0"/>
        <v>0</v>
      </c>
      <c r="F23" s="278">
        <v>42639</v>
      </c>
      <c r="G23" s="53"/>
      <c r="H23" s="10"/>
      <c r="I23" s="3"/>
    </row>
    <row r="24" spans="1:9" ht="12.75">
      <c r="A24" s="287" t="s">
        <v>434</v>
      </c>
      <c r="B24" s="277">
        <v>613334.85</v>
      </c>
      <c r="C24" s="277">
        <v>1171250</v>
      </c>
      <c r="D24" s="277"/>
      <c r="E24" s="277">
        <f>B24+C24+D24</f>
        <v>1784584.85</v>
      </c>
      <c r="F24" s="278">
        <v>42641</v>
      </c>
      <c r="G24" s="53"/>
      <c r="H24" s="10"/>
      <c r="I24" s="3"/>
    </row>
    <row r="25" spans="1:9" ht="12.75">
      <c r="A25" s="59" t="str">
        <f>'SALDOS  DIRECTA'!A25</f>
        <v>Santander 923 mdp 2014 LP</v>
      </c>
      <c r="B25" s="277">
        <v>748882.05</v>
      </c>
      <c r="C25" s="277">
        <v>4310243.88</v>
      </c>
      <c r="D25" s="277"/>
      <c r="E25" s="277">
        <f t="shared" si="0"/>
        <v>5059125.93</v>
      </c>
      <c r="F25" s="278">
        <v>42624</v>
      </c>
      <c r="G25" s="53"/>
      <c r="H25" s="10"/>
      <c r="I25" s="3"/>
    </row>
    <row r="26" spans="1:8" ht="12.75">
      <c r="A26" s="60" t="s">
        <v>19</v>
      </c>
      <c r="B26" s="61">
        <f>SUM(B5:B25)</f>
        <v>98392006.56999998</v>
      </c>
      <c r="C26" s="61">
        <f>SUM(C5:C25)</f>
        <v>85388234.13</v>
      </c>
      <c r="D26" s="61"/>
      <c r="E26" s="61">
        <f>SUM(E5:E25)</f>
        <v>188880956.82000002</v>
      </c>
      <c r="F26" s="2"/>
      <c r="G26" s="53"/>
      <c r="H26" s="10"/>
    </row>
    <row r="27" spans="1:8" ht="12.75">
      <c r="A27" s="62"/>
      <c r="B27" s="63"/>
      <c r="C27" s="63"/>
      <c r="D27" s="63"/>
      <c r="E27" s="63"/>
      <c r="F27" s="64"/>
      <c r="G27" s="65"/>
      <c r="H27" s="65"/>
    </row>
    <row r="28" spans="1:8" ht="12.75">
      <c r="A28" s="62"/>
      <c r="B28" s="63"/>
      <c r="C28" s="63"/>
      <c r="D28" s="63"/>
      <c r="E28" s="63"/>
      <c r="F28" s="64"/>
      <c r="G28" s="65"/>
      <c r="H28" s="65"/>
    </row>
    <row r="29" spans="1:8" ht="12.75">
      <c r="A29" s="62"/>
      <c r="B29" s="63"/>
      <c r="C29" s="63"/>
      <c r="D29" s="63"/>
      <c r="E29" s="63"/>
      <c r="F29" s="64"/>
      <c r="G29" s="65"/>
      <c r="H29" s="65"/>
    </row>
    <row r="30" spans="1:8" ht="12.75">
      <c r="A30" s="66"/>
      <c r="B30" s="63"/>
      <c r="C30" s="63"/>
      <c r="D30" s="63"/>
      <c r="E30" s="67"/>
      <c r="F30" s="64"/>
      <c r="G30" s="65"/>
      <c r="H30" s="65"/>
    </row>
    <row r="31" spans="1:4" ht="12.75">
      <c r="A31" s="5" t="s">
        <v>20</v>
      </c>
      <c r="B31" s="3"/>
      <c r="C31" s="63"/>
      <c r="D31" s="63"/>
    </row>
    <row r="32" spans="1:8" ht="12.75">
      <c r="A32" s="65"/>
      <c r="B32" s="5"/>
      <c r="C32" s="63"/>
      <c r="D32" s="63"/>
      <c r="E32" s="5"/>
      <c r="F32" s="5"/>
      <c r="G32" s="65"/>
      <c r="H32" s="65"/>
    </row>
    <row r="33" spans="1:8" ht="12.75">
      <c r="A33" s="69"/>
      <c r="B33" s="5"/>
      <c r="C33" s="5"/>
      <c r="D33" s="5"/>
      <c r="E33" s="5"/>
      <c r="F33" s="5"/>
      <c r="G33" s="65"/>
      <c r="H33" s="65"/>
    </row>
    <row r="34" spans="1:8" ht="12.75">
      <c r="A34" s="65"/>
      <c r="B34" s="5"/>
      <c r="C34" s="5"/>
      <c r="D34" s="5"/>
      <c r="E34" s="5"/>
      <c r="F34" s="5"/>
      <c r="G34" s="65"/>
      <c r="H34" s="65"/>
    </row>
    <row r="35" spans="1:8" ht="12.75">
      <c r="A35" s="5"/>
      <c r="B35" s="5"/>
      <c r="C35" s="5"/>
      <c r="D35" s="5"/>
      <c r="E35" s="5"/>
      <c r="F35" s="5"/>
      <c r="G35" s="65"/>
      <c r="H35" s="65"/>
    </row>
  </sheetData>
  <sheetProtection/>
  <mergeCells count="6">
    <mergeCell ref="D3:D4"/>
    <mergeCell ref="A2:G2"/>
    <mergeCell ref="A3:A4"/>
    <mergeCell ref="B3:C3"/>
    <mergeCell ref="E3:E4"/>
    <mergeCell ref="G3:G4"/>
  </mergeCells>
  <printOptions horizontalCentered="1"/>
  <pageMargins left="0.7874015748031497" right="0.7874015748031497" top="1.6535433070866143" bottom="0.984251968503937" header="0" footer="0"/>
  <pageSetup fitToHeight="1" fitToWidth="1" horizontalDpi="600" verticalDpi="600" orientation="landscape" scale="84" r:id="rId2"/>
  <headerFooter scaleWithDoc="0" alignWithMargins="0">
    <oddHeader>&amp;L&amp;G&amp;C
&amp;"Arial,Negrita"GOBIERNO DEL ESTADO DE SONORA
DIRECCIÓN DE CRÉDITO PÚBLICO
RELACIÓN DE CRÉDITOS POR PAGAR DIRECTA  SEPTIEMBRE
 2016
&amp;R
</oddHeader>
    <oddFooter>&amp;CPágina 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view="pageBreakPreview" zoomScaleSheetLayoutView="100" workbookViewId="0" topLeftCell="A4">
      <selection activeCell="C28" sqref="C28"/>
    </sheetView>
  </sheetViews>
  <sheetFormatPr defaultColWidth="11.421875" defaultRowHeight="12.75"/>
  <cols>
    <col min="1" max="1" width="58.57421875" style="1" customWidth="1"/>
    <col min="2" max="2" width="23.28125" style="1" customWidth="1"/>
    <col min="3" max="3" width="16.421875" style="1" customWidth="1"/>
    <col min="4" max="4" width="15.00390625" style="1" customWidth="1"/>
    <col min="5" max="5" width="18.140625" style="1" customWidth="1"/>
    <col min="6" max="6" width="16.8515625" style="1" customWidth="1"/>
    <col min="7" max="7" width="14.8515625" style="1" bestFit="1" customWidth="1"/>
    <col min="8" max="16384" width="11.421875" style="1" customWidth="1"/>
  </cols>
  <sheetData>
    <row r="2" spans="1:4" ht="13.5" customHeight="1">
      <c r="A2" s="368" t="s">
        <v>21</v>
      </c>
      <c r="B2" s="376" t="s">
        <v>432</v>
      </c>
      <c r="C2" s="377"/>
      <c r="D2" s="70"/>
    </row>
    <row r="3" spans="1:3" ht="12.75">
      <c r="A3" s="369"/>
      <c r="B3" s="57" t="s">
        <v>22</v>
      </c>
      <c r="C3" s="57" t="s">
        <v>23</v>
      </c>
    </row>
    <row r="5" ht="15">
      <c r="A5" s="71" t="s">
        <v>24</v>
      </c>
    </row>
    <row r="6" spans="5:6" ht="12.75">
      <c r="E6" s="5" t="s">
        <v>25</v>
      </c>
      <c r="F6" s="5" t="s">
        <v>26</v>
      </c>
    </row>
    <row r="7" spans="1:6" ht="12.75">
      <c r="A7" s="72" t="str">
        <f>'CREDITOS X PAGAR DIRECTA'!A5</f>
        <v>348 BBVA BANCOMER, S.A./ REFINANCIAMIENTO 2,241 mdp</v>
      </c>
      <c r="B7" s="51">
        <f>1903076437.98-4585049.12-4598804.26-4612600.68-8178701.23-8178701.23-8178701.23-8178701.23-8178701.23-8178701.23-8178701.23-8178701.23-8178701.23-8178701.23-8178701.23-8178701.23-8178701.23-8178701.23-8178701.23-8178701.23-8178701.23-8178701.23-8178701.23-8178701.23-8178701.23-8178701.23-8178701.23-8178701.23-8178701.23-8178701.23-8178701.23-8178701.23-8178701.23</f>
        <v>1652097648.2499995</v>
      </c>
      <c r="C7" s="51">
        <v>0</v>
      </c>
      <c r="D7" s="73"/>
      <c r="E7" s="3">
        <f>'DEUDA DIRECTA'!L6</f>
        <v>1652097648.2499995</v>
      </c>
      <c r="F7" s="3">
        <f aca="true" t="shared" si="0" ref="F7:F25">E7-B7</f>
        <v>0</v>
      </c>
    </row>
    <row r="8" spans="1:6" ht="12.75">
      <c r="A8" s="72" t="s">
        <v>9</v>
      </c>
      <c r="B8" s="289">
        <f>314101097.14-756759.07-759029.34-761306.43-1349887.46-1349887.46-1349887.46-1349887.46-1349887.46-1349887.46-1349887.46-1349887.46-1349887.46-1349887.46-1349887.46-1349887.46-1349887.46-1349887.46-1349887.46-1349887.46-1349887.46-1349887.46-1349887.46-1349887.46-1349887.46-1349887.46-1349887.46-1349887.46-1349887.46-1349887.46-1349887.46-1349887.46-1349887.46</f>
        <v>272677265.96000063</v>
      </c>
      <c r="C8" s="51">
        <v>0</v>
      </c>
      <c r="D8" s="73"/>
      <c r="E8" s="3">
        <f>'DEUDA DIRECTA'!L7</f>
        <v>272677265.96000063</v>
      </c>
      <c r="F8" s="3">
        <f t="shared" si="0"/>
        <v>0</v>
      </c>
    </row>
    <row r="9" spans="1:6" ht="12.75">
      <c r="A9" s="72" t="str">
        <f>'CREDITOS X PAGAR DIRECTA'!A7</f>
        <v>368 SCOTIABANK INVERLAT/REFINANCIAMIENTO 450 mdp</v>
      </c>
      <c r="B9" s="51">
        <f>383420665.96-315279.64-319693.56-1046969.11-1054297.89-1061677.98-1069109.72-1076593.49-1084129.64-1091718.55-1099360.58-1107056.1-1114805.5-1122609.14-1130467.4-1138380.67-1146349.34-1154373.78-1162454.4-1170591.58-1178785.72-1187037.22-1195346.48-1203713.91-1212139.9-1220624.88-1229169.26-1237773.44-1246437.86-1255162.92-1263949.06-1272796.7-1281706.28-1290678.23-1299712.97-1308810.96-1317972.64-1327198.45-1336488.84+0.2-1345844.26-1355265.17-1364752.03-1374305.29-1383925.43-1393612.91</f>
        <v>331871537.28</v>
      </c>
      <c r="C9" s="51">
        <v>0</v>
      </c>
      <c r="D9" s="73"/>
      <c r="E9" s="3">
        <f>'DEUDA DIRECTA'!L8</f>
        <v>331871537.28</v>
      </c>
      <c r="F9" s="3">
        <f t="shared" si="0"/>
        <v>0</v>
      </c>
    </row>
    <row r="10" spans="1:6" ht="12.75">
      <c r="A10" s="72" t="s">
        <v>11</v>
      </c>
      <c r="B10" s="51">
        <f>286043968.24-235208.6-238501.53-786027.98-791484.32-796978.54-802510.9-808081.66-813691.1-819339.47-825027.05-830754.12-836520.93-842327.78-848174.94-854062.69-859991.31-865961.08-871972.29-878025.23-884120.19-890257.46-896437.33-902660.1-908926.07-915235.53-921588.79-927986.15-934427.92-940914.41-947445.92-954022.78-960645.28-967313.76-974028.53-980789.91-987598.23-994453.81-1001356.98-1008308.06-1015307.4-1022355.33-1029452.18-1036598.29-1043794.01</f>
        <v>247393302.3</v>
      </c>
      <c r="C10" s="51">
        <v>0</v>
      </c>
      <c r="D10" s="73"/>
      <c r="E10" s="3">
        <f>'DEUDA DIRECTA'!L9</f>
        <v>247393302.3</v>
      </c>
      <c r="F10" s="3">
        <f t="shared" si="0"/>
        <v>0</v>
      </c>
    </row>
    <row r="11" spans="1:6" ht="12.75">
      <c r="A11" s="72" t="str">
        <f>'CREDITOS X PAGAR DIRECTA'!A9</f>
        <v>BANORTE QUIROGRAFARIO 500 MDP</v>
      </c>
      <c r="B11" s="51">
        <f>500000000-500000000</f>
        <v>0</v>
      </c>
      <c r="C11" s="51"/>
      <c r="D11" s="73"/>
      <c r="E11" s="3"/>
      <c r="F11" s="3"/>
    </row>
    <row r="12" spans="1:6" ht="12.75">
      <c r="A12" s="5" t="str">
        <f>+'CREDITOS X PAGAR DIRECTA'!A10</f>
        <v>D001 BANORTE / CRÉDITO SIMPLE $4,419 MDP</v>
      </c>
      <c r="B12" s="51">
        <f>4577381356.00978+22802352.37+22260672.31+23106443.85+23165813.44+21775672.52+23358951.38+22669251.16+23350388.28+22867213.12+23743358.66+23912579.11+23306651.3+24260414.01+23690631.16+24675187.22-16813402.4-16813402.4-16813402.4-16813402.4-16813402.4-16813402.4-16813402.4-1500888.74+16813402.4-1520850.56-1541077.87-1561574.21-1582343.14-1603388.31-1624713.37-1646322.06-1668218.14-1690405.44-1712887.84-1735669.24-1758753.65-1782145.04-1805847.6-1829865.37-1854202.58-1878863.48-1903852.36-1929173.6-1954831.6-1980830.87-2007175.92-2033871.36-2060921.84-2088332.1-2116106.92</f>
        <v>4777073408.289782</v>
      </c>
      <c r="C12" s="51">
        <v>0</v>
      </c>
      <c r="D12" s="290"/>
      <c r="E12" s="3">
        <f>'DEUDA DIRECTA'!L10</f>
        <v>4777073408.289782</v>
      </c>
      <c r="F12" s="3">
        <f t="shared" si="0"/>
        <v>0</v>
      </c>
    </row>
    <row r="13" spans="1:6" ht="12.75">
      <c r="A13" s="291" t="s">
        <v>13</v>
      </c>
      <c r="B13" s="51">
        <f>650000000-2317318.96-2346940.13-2376955.26-2407369.59-2438188.43-2469417.16-2501061.23-2533126.17-2565617.58-2598541.12-2631902.54-2665707.67-2699962.41-2734672.73-2769844.7-2805484.47-2841598.23-2878192.32-2915273.1-2952847.06</f>
        <v>597549979.14</v>
      </c>
      <c r="C13" s="51">
        <v>0</v>
      </c>
      <c r="D13" s="290"/>
      <c r="E13" s="3">
        <f>'DEUDA DIRECTA'!L11</f>
        <v>597549979.14</v>
      </c>
      <c r="F13" s="3">
        <f t="shared" si="0"/>
        <v>0</v>
      </c>
    </row>
    <row r="14" spans="1:6" ht="12.75">
      <c r="A14" s="292" t="str">
        <f>'CREDITOS X PAGAR DIRECTA'!A13</f>
        <v>INTERACCIONES no. 430787 2016 855 mdp</v>
      </c>
      <c r="B14" s="51">
        <f>855970029</f>
        <v>855970029</v>
      </c>
      <c r="C14" s="51">
        <v>0</v>
      </c>
      <c r="D14" s="290" t="s">
        <v>403</v>
      </c>
      <c r="E14" s="3"/>
      <c r="F14" s="3"/>
    </row>
    <row r="15" spans="1:6" ht="12.75">
      <c r="A15" s="74" t="str">
        <f>'DEUDA DIRECTA'!A12</f>
        <v>D045 INTERACCIONES CS 2013 1,000 MDP 365089</v>
      </c>
      <c r="B15" s="54">
        <f>1000000000-605-908-1362-2043-3065-4597-6896-10344-15517-23275-34913-52370-78555-117833-176750-265126-397689-596534-894801-1342201-2127339-2684403-3116495-3469540-3768036-4026604-4254678-4458697-4643254-4811742-4966736-5110237-5243834-5368806-5486199-5596879-5701575-5800898-5895375-5985456</f>
        <v>903457833</v>
      </c>
      <c r="C15" s="75">
        <v>0</v>
      </c>
      <c r="E15" s="3">
        <f>'DEUDA DIRECTA'!L12</f>
        <v>903457833</v>
      </c>
      <c r="F15" s="3">
        <f t="shared" si="0"/>
        <v>0</v>
      </c>
    </row>
    <row r="16" spans="1:6" ht="12.75">
      <c r="A16" s="293" t="s">
        <v>387</v>
      </c>
      <c r="B16" s="235">
        <f>736728512-61394042.67-61394042.67-61394042.67-61394042.67-61394042.67-61394042.67-61394042.67-61394042.67-61394042.67</f>
        <v>184182127.97000003</v>
      </c>
      <c r="C16" s="75">
        <v>0</v>
      </c>
      <c r="E16" s="3"/>
      <c r="F16" s="3"/>
    </row>
    <row r="17" spans="1:7" ht="12.75">
      <c r="A17" s="74" t="str">
        <f>'CREDITOS X PAGAR DIRECTA'!A15</f>
        <v>Interacciones 850 mdp 2014</v>
      </c>
      <c r="B17" s="54">
        <f>835466813.03-2574599.21-3128138.55-3800688.84-4617837.11-5610671.37-6819035.93-8164237.9-8169472.62-8174710.18-8179950.35-8185195.44-8190442.63-8195694.44</f>
        <v>751656138.4599999</v>
      </c>
      <c r="C17" s="75">
        <v>0</v>
      </c>
      <c r="E17" s="3">
        <f>'DEUDA DIRECTA'!L13</f>
        <v>751656138.4599999</v>
      </c>
      <c r="F17" s="3">
        <f t="shared" si="0"/>
        <v>0</v>
      </c>
      <c r="G17" s="3"/>
    </row>
    <row r="18" spans="1:6" ht="12.75">
      <c r="A18" s="74" t="str">
        <f>'CREDITOS X PAGAR DIRECTA'!A16</f>
        <v>Bancomer 325 mdp 2014 LP</v>
      </c>
      <c r="B18" s="54">
        <f>325000000-189331.39-191849.5-194401.1-196986.63-199606.55-202261.32-204951.4-207677.25-210439.36-213238.2-216074.27-218948.06-221860.07-224810.8-227800.79-230830.54-233900.58-237011.46-240163.71-243357.89-246594.55-249874.26-253197.59-256565.12-259977.43-263435.13-266938.82-270489.1</f>
        <v>318627427.13000005</v>
      </c>
      <c r="C18" s="75">
        <v>0</v>
      </c>
      <c r="E18" s="3">
        <f>'DEUDA DIRECTA'!L14</f>
        <v>318627427.13000005</v>
      </c>
      <c r="F18" s="3">
        <f t="shared" si="0"/>
        <v>0</v>
      </c>
    </row>
    <row r="19" spans="1:6" ht="12.75">
      <c r="A19" s="74" t="str">
        <f>'CREDITOS X PAGAR DIRECTA'!A17</f>
        <v>Bancomer 300 mdp 2014 LP</v>
      </c>
      <c r="B19" s="54">
        <f>300000000-174767.44-177091.84-179447.17-181833.81-184252.2-186702.76-189185.9-191702.08-194251.71-196835.26-199453.17-202105.9-204793.91-207517.67-210277.65-213074.34-215908.23-218779.81-221689.58-224638.05-227625.74-230653.16-233720.85-236829.34-239979.17-243170.89-246405.06-249682.25</f>
        <v>294117625.06000006</v>
      </c>
      <c r="C19" s="75">
        <v>0</v>
      </c>
      <c r="E19" s="3">
        <f>'DEUDA DIRECTA'!L15</f>
        <v>294117625.06000006</v>
      </c>
      <c r="F19" s="3">
        <f t="shared" si="0"/>
        <v>0</v>
      </c>
    </row>
    <row r="20" spans="1:6" ht="12.75">
      <c r="A20" s="74" t="str">
        <f>'CREDITOS X PAGAR DIRECTA'!A18</f>
        <v>Bancomer 321 mdp 2014 LP</v>
      </c>
      <c r="B20" s="54">
        <f>321666668-187389.53-189881.81-192407.24-194966.26-197559.31-200186.85-202849.33-205547.23-208281.01-211051.14-213858.12-216702.44-219584.58-222505.05-225464.37-228463.05-231501.61-234580.58-237700.5-240861.92-244065.38-247311.45-250600.69-253933.68-257311-260733.23</f>
        <v>315891370.64</v>
      </c>
      <c r="C20" s="75">
        <v>0</v>
      </c>
      <c r="E20" s="3">
        <f>'DEUDA DIRECTA'!L16</f>
        <v>315891370.64</v>
      </c>
      <c r="F20" s="3">
        <f t="shared" si="0"/>
        <v>0</v>
      </c>
    </row>
    <row r="21" spans="1:6" ht="12.75">
      <c r="A21" s="265" t="s">
        <v>17</v>
      </c>
      <c r="B21" s="54">
        <f>62500000-36409.88-36894.13-37384.83-37882.04-38385.88-38896.41-39413.73-39937.93-40469.11-41007.35-41552.74-42105.4-42665.4-43232.85-43807.84-44390.49</f>
        <v>61855563.989999995</v>
      </c>
      <c r="C21" s="75">
        <v>0</v>
      </c>
      <c r="E21" s="3">
        <f>'DEUDA DIRECTA'!L17</f>
        <v>61855563.989999995</v>
      </c>
      <c r="F21" s="3">
        <v>0</v>
      </c>
    </row>
    <row r="22" spans="1:6" ht="12.75">
      <c r="A22" s="265" t="s">
        <v>437</v>
      </c>
      <c r="B22" s="54">
        <v>1500000000</v>
      </c>
      <c r="C22" s="75"/>
      <c r="E22" s="3"/>
      <c r="F22" s="3"/>
    </row>
    <row r="23" spans="1:6" ht="12.75">
      <c r="A23" s="265" t="s">
        <v>434</v>
      </c>
      <c r="B23" s="54">
        <f>1000000000-613334.85</f>
        <v>999386665.15</v>
      </c>
      <c r="C23" s="75"/>
      <c r="E23" s="3"/>
      <c r="F23" s="3"/>
    </row>
    <row r="24" spans="1:6" ht="12.75">
      <c r="A24" s="265" t="s">
        <v>18</v>
      </c>
      <c r="B24" s="54">
        <f>750000000-436918.59-442729.61-448617.92-454584.53-460630.51-466756.89-472964.76-479255.19-485629.29-492088.16-498632.93-505264.75-511984.77-518794.16-525694.13</f>
        <v>742799453.8100002</v>
      </c>
      <c r="C24" s="75">
        <v>0</v>
      </c>
      <c r="E24" s="3"/>
      <c r="F24" s="3"/>
    </row>
    <row r="25" spans="1:6" ht="12.75">
      <c r="A25" s="74" t="s">
        <v>27</v>
      </c>
      <c r="B25" s="54">
        <f>923896013.78-538223.13-545381.5-552635.07-559985.12-567432.92-574979.78-582627.01-590375.95-598227.95-606184.38-614246.63-622416.11-630694.25-639082.48-647582.28-656195.12-664922.52-673765.99-682727.07-691807.34-701008.38-710331.79-719779.21-729352.27-739052.65-748882.05</f>
        <v>907308114.8299999</v>
      </c>
      <c r="C25" s="75">
        <v>0</v>
      </c>
      <c r="E25" s="3">
        <f>'DEUDA DIRECTA'!L21</f>
        <v>907308114.8299999</v>
      </c>
      <c r="F25" s="3">
        <f t="shared" si="0"/>
        <v>0</v>
      </c>
    </row>
    <row r="26" spans="1:7" ht="12.75">
      <c r="A26" s="76" t="s">
        <v>28</v>
      </c>
      <c r="B26" s="77">
        <f>SUM(B7:B25)</f>
        <v>15713915490.259777</v>
      </c>
      <c r="C26" s="51"/>
      <c r="D26" s="73"/>
      <c r="G26" s="3"/>
    </row>
    <row r="27" spans="2:3" ht="12.75">
      <c r="B27" s="75"/>
      <c r="C27" s="75"/>
    </row>
    <row r="28" spans="1:4" ht="15">
      <c r="A28" s="71" t="s">
        <v>29</v>
      </c>
      <c r="B28" s="75"/>
      <c r="C28" s="75"/>
      <c r="D28" s="73"/>
    </row>
    <row r="29" spans="2:6" ht="12.75">
      <c r="B29" s="75"/>
      <c r="C29" s="75"/>
      <c r="D29" s="63"/>
      <c r="E29" s="63"/>
      <c r="F29" s="63"/>
    </row>
    <row r="30" spans="1:6" ht="12.75">
      <c r="A30" s="3" t="s">
        <v>30</v>
      </c>
      <c r="B30" s="75">
        <f>1280295512.69-745846.55-755766.31-765818.01-776003.38-786324.23-1264939.64+750000000-1281763.34-1298810.79-1316084.97-1333588.9-1351325.63-1369298.26-1387509.93-1405963.81-1424663.13-1443611.15-1462811.18-1482266.57-1501980.71-1521957.06-1542199.09-1562710.33-1583494.38-1604554.86-1625895.44-1647519.85-1669431.86</f>
        <v>1994383373.33</v>
      </c>
      <c r="C30" s="75">
        <v>0</v>
      </c>
      <c r="D30" s="5"/>
      <c r="E30" s="3">
        <f>'DEUDA DIRECTA'!L34</f>
        <v>1994383373.33</v>
      </c>
      <c r="F30" s="3">
        <f>E30-B30</f>
        <v>0</v>
      </c>
    </row>
    <row r="31" spans="1:6" ht="12.75">
      <c r="A31" s="3" t="str">
        <f>'DEUDA DIRECTA'!A35</f>
        <v>BANOBRAS 1,730 MDP 2014 Registro 001</v>
      </c>
      <c r="B31" s="75">
        <f>1703567971.46-992427.36-1005626.65-1019001.48-1032554.2-1046287.17-1060202.79-1074303.49-1088591.73-1103070-1117740.83-1132606.78-1147670.45-1162934.47-1178401.5-1194074.24-1209955.42-1226047.83-1242354.27-1258877.58-1275620.65-1292586.4-1309777.8-1327197.85-1344849.58-1362736.08-1380860.47-1399225.91</f>
        <v>1671582388.48</v>
      </c>
      <c r="C31" s="75">
        <v>0</v>
      </c>
      <c r="D31" s="5"/>
      <c r="E31" s="3">
        <f>'DEUDA DIRECTA'!L35</f>
        <v>1671582388.48</v>
      </c>
      <c r="F31" s="3">
        <f>E31-B31</f>
        <v>0</v>
      </c>
    </row>
    <row r="32" spans="1:3" ht="12.75">
      <c r="A32" s="78" t="s">
        <v>31</v>
      </c>
      <c r="B32" s="79">
        <f>SUM(B30:B31)</f>
        <v>3665965761.81</v>
      </c>
      <c r="C32" s="79">
        <f>SUM(C30:C31)</f>
        <v>0</v>
      </c>
    </row>
    <row r="33" spans="2:3" ht="12.75">
      <c r="B33" s="75"/>
      <c r="C33" s="75"/>
    </row>
    <row r="34" spans="1:6" ht="12.75">
      <c r="A34" s="78" t="s">
        <v>19</v>
      </c>
      <c r="B34" s="79">
        <f>B26+B32</f>
        <v>19379881252.06978</v>
      </c>
      <c r="C34" s="79">
        <f>C32</f>
        <v>0</v>
      </c>
      <c r="E34" s="3">
        <f>'DEUDA DIRECTA'!L38</f>
        <v>19379881252.06978</v>
      </c>
      <c r="F34" s="5" t="s">
        <v>32</v>
      </c>
    </row>
    <row r="35" spans="2:6" ht="12.75">
      <c r="B35" s="3"/>
      <c r="C35" s="3"/>
      <c r="E35" s="3">
        <f>B34-E34</f>
        <v>0</v>
      </c>
      <c r="F35" s="5" t="s">
        <v>33</v>
      </c>
    </row>
    <row r="36" spans="2:3" ht="13.5">
      <c r="B36" s="3"/>
      <c r="C36" s="80"/>
    </row>
    <row r="37" spans="2:3" ht="13.5">
      <c r="B37" s="3"/>
      <c r="C37" s="81"/>
    </row>
    <row r="38" ht="12.75">
      <c r="B38" s="3"/>
    </row>
  </sheetData>
  <sheetProtection/>
  <mergeCells count="2">
    <mergeCell ref="A2:A3"/>
    <mergeCell ref="B2:C2"/>
  </mergeCells>
  <printOptions horizontalCentered="1"/>
  <pageMargins left="0.7480314960629921" right="0.7480314960629921" top="1.6535433070866143" bottom="0.9055118110236221" header="0" footer="0"/>
  <pageSetup fitToHeight="1" fitToWidth="1" horizontalDpi="600" verticalDpi="600" orientation="landscape" r:id="rId2"/>
  <headerFooter>
    <oddHeader>&amp;L&amp;G&amp;C
&amp;"Arial,Negrita"GOBIERNO DEL ESTADO DE SONORA
DIRECCIÓN DE CRÉDITO PÚBLICO
RELACIÓN DE SALDOS ACTUALES DIRECTA SEPTIEMBRE
 2016
</oddHeader>
    <oddFooter>&amp;CPágina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view="pageBreakPreview" zoomScale="90" zoomScaleSheetLayoutView="90" zoomScalePageLayoutView="80" workbookViewId="0" topLeftCell="A10">
      <selection activeCell="I32" sqref="I32"/>
    </sheetView>
  </sheetViews>
  <sheetFormatPr defaultColWidth="19.8515625" defaultRowHeight="12.75"/>
  <cols>
    <col min="1" max="1" width="58.00390625" style="1" customWidth="1"/>
    <col min="2" max="2" width="56.00390625" style="1" hidden="1" customWidth="1"/>
    <col min="3" max="3" width="19.8515625" style="97" hidden="1" customWidth="1"/>
    <col min="4" max="4" width="24.140625" style="97" hidden="1" customWidth="1"/>
    <col min="5" max="5" width="12.57421875" style="1" customWidth="1"/>
    <col min="6" max="7" width="19.8515625" style="112" hidden="1" customWidth="1"/>
    <col min="8" max="8" width="13.421875" style="1" customWidth="1"/>
    <col min="9" max="9" width="16.28125" style="1" customWidth="1"/>
    <col min="10" max="10" width="30.28125" style="113" hidden="1" customWidth="1"/>
    <col min="11" max="11" width="20.421875" style="1" customWidth="1"/>
    <col min="12" max="12" width="22.8515625" style="1" customWidth="1"/>
    <col min="13" max="13" width="13.00390625" style="1" customWidth="1"/>
    <col min="14" max="16384" width="19.8515625" style="1" customWidth="1"/>
  </cols>
  <sheetData>
    <row r="1" spans="1:13" ht="26.25" customHeight="1">
      <c r="A1" s="5"/>
      <c r="B1" s="383" t="s">
        <v>34</v>
      </c>
      <c r="C1" s="82" t="s">
        <v>35</v>
      </c>
      <c r="D1" s="384" t="s">
        <v>36</v>
      </c>
      <c r="E1" s="386" t="s">
        <v>37</v>
      </c>
      <c r="F1" s="387" t="s">
        <v>38</v>
      </c>
      <c r="G1" s="388" t="s">
        <v>39</v>
      </c>
      <c r="H1" s="380" t="s">
        <v>40</v>
      </c>
      <c r="I1" s="380" t="s">
        <v>41</v>
      </c>
      <c r="J1" s="380" t="s">
        <v>42</v>
      </c>
      <c r="K1" s="380" t="s">
        <v>43</v>
      </c>
      <c r="L1" s="381" t="s">
        <v>431</v>
      </c>
      <c r="M1" s="382"/>
    </row>
    <row r="2" spans="1:13" ht="38.25">
      <c r="A2" s="5"/>
      <c r="B2" s="383"/>
      <c r="C2" s="82" t="s">
        <v>44</v>
      </c>
      <c r="D2" s="385"/>
      <c r="E2" s="386"/>
      <c r="F2" s="387"/>
      <c r="G2" s="388"/>
      <c r="H2" s="380"/>
      <c r="I2" s="380"/>
      <c r="J2" s="380"/>
      <c r="K2" s="380"/>
      <c r="L2" s="83" t="s">
        <v>22</v>
      </c>
      <c r="M2" s="84" t="s">
        <v>23</v>
      </c>
    </row>
    <row r="3" spans="1:13" ht="15">
      <c r="A3" s="71" t="s">
        <v>24</v>
      </c>
      <c r="B3" s="71"/>
      <c r="C3" s="85"/>
      <c r="D3" s="85"/>
      <c r="E3" s="5"/>
      <c r="F3" s="86"/>
      <c r="G3" s="86"/>
      <c r="H3" s="5"/>
      <c r="I3" s="5"/>
      <c r="J3" s="87"/>
      <c r="K3" s="5"/>
      <c r="L3" s="5"/>
      <c r="M3" s="5"/>
    </row>
    <row r="4" spans="1:13" ht="12.75">
      <c r="A4" s="88" t="s">
        <v>45</v>
      </c>
      <c r="B4" s="88"/>
      <c r="C4" s="89"/>
      <c r="D4" s="89"/>
      <c r="E4" s="72"/>
      <c r="F4" s="90"/>
      <c r="G4" s="90"/>
      <c r="H4" s="72"/>
      <c r="I4" s="72"/>
      <c r="J4" s="91"/>
      <c r="K4" s="72"/>
      <c r="L4" s="72"/>
      <c r="M4" s="72"/>
    </row>
    <row r="5" spans="1:13" ht="12.75">
      <c r="A5" s="88"/>
      <c r="B5" s="88"/>
      <c r="C5" s="89"/>
      <c r="D5" s="89"/>
      <c r="E5" s="72"/>
      <c r="F5" s="90"/>
      <c r="G5" s="90"/>
      <c r="H5" s="72"/>
      <c r="I5" s="72"/>
      <c r="J5" s="91"/>
      <c r="K5" s="72"/>
      <c r="L5" s="72"/>
      <c r="M5" s="72"/>
    </row>
    <row r="6" spans="1:14" ht="12.75">
      <c r="A6" s="294" t="s">
        <v>46</v>
      </c>
      <c r="B6" s="212" t="s">
        <v>47</v>
      </c>
      <c r="C6" s="92">
        <v>0.06</v>
      </c>
      <c r="D6" s="92" t="s">
        <v>48</v>
      </c>
      <c r="E6" s="93" t="s">
        <v>49</v>
      </c>
      <c r="F6" s="94">
        <v>38267</v>
      </c>
      <c r="G6" s="94">
        <v>40651</v>
      </c>
      <c r="H6" s="95">
        <v>48764</v>
      </c>
      <c r="I6" s="51">
        <v>39500000</v>
      </c>
      <c r="J6" s="96" t="s">
        <v>50</v>
      </c>
      <c r="K6" s="51">
        <v>2241036014.75</v>
      </c>
      <c r="L6" s="51">
        <f>+'SALDOS  DIRECTA'!B7</f>
        <v>1652097648.2499995</v>
      </c>
      <c r="M6" s="51">
        <v>0</v>
      </c>
      <c r="N6" s="1" t="s">
        <v>388</v>
      </c>
    </row>
    <row r="7" spans="1:14" ht="12.75">
      <c r="A7" s="294" t="s">
        <v>9</v>
      </c>
      <c r="B7" s="212" t="s">
        <v>51</v>
      </c>
      <c r="C7" s="92">
        <v>0.01</v>
      </c>
      <c r="D7" s="92" t="str">
        <f>D6</f>
        <v>MONEX F/1806</v>
      </c>
      <c r="E7" s="93" t="s">
        <v>49</v>
      </c>
      <c r="F7" s="94">
        <v>38785</v>
      </c>
      <c r="G7" s="94">
        <f>G6</f>
        <v>40651</v>
      </c>
      <c r="H7" s="95">
        <v>48764</v>
      </c>
      <c r="I7" s="51">
        <v>6600000</v>
      </c>
      <c r="J7" s="96" t="s">
        <v>50</v>
      </c>
      <c r="K7" s="51">
        <v>350000000</v>
      </c>
      <c r="L7" s="51">
        <f>+'SALDOS  DIRECTA'!B8</f>
        <v>272677265.96000063</v>
      </c>
      <c r="M7" s="51">
        <v>0</v>
      </c>
      <c r="N7" s="1" t="s">
        <v>388</v>
      </c>
    </row>
    <row r="8" spans="1:14" s="7" customFormat="1" ht="12.75" customHeight="1">
      <c r="A8" s="295" t="s">
        <v>52</v>
      </c>
      <c r="B8" s="241" t="str">
        <f>B6</f>
        <v>79 del 8 de julio 2004</v>
      </c>
      <c r="C8" s="240">
        <v>0.012</v>
      </c>
      <c r="D8" s="240" t="str">
        <f>D7</f>
        <v>MONEX F/1806</v>
      </c>
      <c r="E8" s="242" t="s">
        <v>53</v>
      </c>
      <c r="F8" s="243">
        <f>F6</f>
        <v>38267</v>
      </c>
      <c r="G8" s="243">
        <v>40896</v>
      </c>
      <c r="H8" s="244">
        <v>46895</v>
      </c>
      <c r="I8" s="51">
        <v>9650000</v>
      </c>
      <c r="J8" s="96" t="s">
        <v>54</v>
      </c>
      <c r="K8" s="51">
        <v>450000000</v>
      </c>
      <c r="L8" s="51">
        <f>+'SALDOS  DIRECTA'!B9</f>
        <v>331871537.28</v>
      </c>
      <c r="M8" s="51">
        <v>0</v>
      </c>
      <c r="N8" s="7" t="s">
        <v>388</v>
      </c>
    </row>
    <row r="9" spans="1:14" s="302" customFormat="1" ht="12.75" customHeight="1">
      <c r="A9" s="296" t="s">
        <v>11</v>
      </c>
      <c r="B9" s="297" t="str">
        <f>B7</f>
        <v>Articulo 12, ley de ingresos 2005, publicado el 29 de diciembre 2005</v>
      </c>
      <c r="C9" s="240">
        <v>0.009</v>
      </c>
      <c r="D9" s="240" t="str">
        <f>D8</f>
        <v>MONEX F/1806</v>
      </c>
      <c r="E9" s="298" t="s">
        <v>55</v>
      </c>
      <c r="F9" s="299">
        <v>38785</v>
      </c>
      <c r="G9" s="299">
        <f>G8</f>
        <v>40896</v>
      </c>
      <c r="H9" s="300">
        <v>46895</v>
      </c>
      <c r="I9" s="289">
        <v>7350000</v>
      </c>
      <c r="J9" s="301" t="str">
        <f>J8</f>
        <v>comision por renegociacion del 0.10% del saldo reconocido</v>
      </c>
      <c r="K9" s="289">
        <v>300000000</v>
      </c>
      <c r="L9" s="289">
        <f>+'SALDOS  DIRECTA'!B10</f>
        <v>247393302.3</v>
      </c>
      <c r="M9" s="289">
        <v>0</v>
      </c>
      <c r="N9" s="302" t="s">
        <v>388</v>
      </c>
    </row>
    <row r="10" spans="1:15" ht="12.75">
      <c r="A10" s="303" t="str">
        <f>+'SALDOS  DIRECTA'!A12</f>
        <v>D001 BANORTE / CRÉDITO SIMPLE $4,419 MDP</v>
      </c>
      <c r="B10" s="212" t="e">
        <f>#REF!</f>
        <v>#REF!</v>
      </c>
      <c r="C10" s="97">
        <v>0.15</v>
      </c>
      <c r="D10" s="97" t="s">
        <v>56</v>
      </c>
      <c r="E10" s="93" t="s">
        <v>57</v>
      </c>
      <c r="F10" s="94">
        <v>40529</v>
      </c>
      <c r="G10" s="94">
        <v>40597</v>
      </c>
      <c r="H10" s="95">
        <v>50511</v>
      </c>
      <c r="I10" s="51">
        <v>99945889.95</v>
      </c>
      <c r="J10" s="304" t="s">
        <v>50</v>
      </c>
      <c r="K10" s="305">
        <v>4419000000</v>
      </c>
      <c r="L10" s="305">
        <f>+'SALDOS  DIRECTA'!B12</f>
        <v>4777073408.289782</v>
      </c>
      <c r="M10" s="51">
        <v>0</v>
      </c>
      <c r="N10" s="8" t="s">
        <v>388</v>
      </c>
      <c r="O10" s="9"/>
    </row>
    <row r="11" spans="1:15" ht="12.75">
      <c r="A11" s="291" t="s">
        <v>13</v>
      </c>
      <c r="B11" s="212"/>
      <c r="E11" s="306" t="s">
        <v>58</v>
      </c>
      <c r="F11" s="94"/>
      <c r="G11" s="94"/>
      <c r="H11" s="95">
        <v>45643</v>
      </c>
      <c r="I11" s="51">
        <v>13964675.2</v>
      </c>
      <c r="J11" s="304"/>
      <c r="K11" s="305">
        <v>650000000</v>
      </c>
      <c r="L11" s="305">
        <f>+'SALDOS  DIRECTA'!B13</f>
        <v>597549979.14</v>
      </c>
      <c r="M11" s="51">
        <v>0</v>
      </c>
      <c r="N11" s="8" t="s">
        <v>388</v>
      </c>
      <c r="O11" s="9"/>
    </row>
    <row r="12" spans="1:14" ht="12.75">
      <c r="A12" s="307" t="s">
        <v>59</v>
      </c>
      <c r="B12" s="212"/>
      <c r="C12" s="92" t="s">
        <v>60</v>
      </c>
      <c r="D12" s="92" t="s">
        <v>61</v>
      </c>
      <c r="E12" s="266" t="s">
        <v>440</v>
      </c>
      <c r="F12" s="94">
        <v>41407</v>
      </c>
      <c r="G12" s="94"/>
      <c r="H12" s="95">
        <v>45789</v>
      </c>
      <c r="I12" s="51">
        <v>18400000</v>
      </c>
      <c r="J12" s="96"/>
      <c r="K12" s="51">
        <v>1000000000</v>
      </c>
      <c r="L12" s="51">
        <f>'SALDOS  DIRECTA'!B15</f>
        <v>903457833</v>
      </c>
      <c r="M12" s="51">
        <v>0</v>
      </c>
      <c r="N12" s="3"/>
    </row>
    <row r="13" spans="1:14" ht="12.75">
      <c r="A13" s="239" t="str">
        <f>'SALDOS  DIRECTA'!A17</f>
        <v>Interacciones 850 mdp 2014</v>
      </c>
      <c r="B13" s="239"/>
      <c r="C13" s="308">
        <v>0.056</v>
      </c>
      <c r="D13" s="240"/>
      <c r="E13" s="266" t="s">
        <v>443</v>
      </c>
      <c r="F13" s="309">
        <v>41709</v>
      </c>
      <c r="G13" s="94"/>
      <c r="H13" s="95">
        <v>45355</v>
      </c>
      <c r="I13" s="310">
        <v>11000000</v>
      </c>
      <c r="J13" s="96"/>
      <c r="K13" s="51">
        <v>850000000</v>
      </c>
      <c r="L13" s="51">
        <f>'SALDOS  DIRECTA'!B17</f>
        <v>751656138.4599999</v>
      </c>
      <c r="M13" s="51">
        <v>0</v>
      </c>
      <c r="N13" s="1" t="s">
        <v>388</v>
      </c>
    </row>
    <row r="14" spans="1:14" ht="12.75">
      <c r="A14" s="239" t="str">
        <f>'CREDITOS X PAGAR DIRECTA'!A16</f>
        <v>Bancomer 325 mdp 2014 LP</v>
      </c>
      <c r="B14" s="239" t="s">
        <v>62</v>
      </c>
      <c r="C14" s="92">
        <v>0.0203</v>
      </c>
      <c r="D14" s="92" t="s">
        <v>56</v>
      </c>
      <c r="E14" s="93" t="s">
        <v>63</v>
      </c>
      <c r="F14" s="94">
        <v>41719</v>
      </c>
      <c r="G14" s="94"/>
      <c r="H14" s="95">
        <v>12546</v>
      </c>
      <c r="I14" s="51">
        <v>5710632.49</v>
      </c>
      <c r="J14" s="96"/>
      <c r="K14" s="51">
        <v>325000000</v>
      </c>
      <c r="L14" s="51">
        <f>'SALDOS  DIRECTA'!B18</f>
        <v>318627427.13000005</v>
      </c>
      <c r="M14" s="51">
        <v>0</v>
      </c>
      <c r="N14" s="1" t="s">
        <v>388</v>
      </c>
    </row>
    <row r="15" spans="1:15" ht="12.75">
      <c r="A15" s="239" t="str">
        <f>'CREDITOS X PAGAR DIRECTA'!A17</f>
        <v>Bancomer 300 mdp 2014 LP</v>
      </c>
      <c r="B15" s="239" t="s">
        <v>62</v>
      </c>
      <c r="C15" s="92">
        <v>0.0188</v>
      </c>
      <c r="D15" s="92" t="s">
        <v>56</v>
      </c>
      <c r="E15" s="93" t="s">
        <v>63</v>
      </c>
      <c r="F15" s="94">
        <v>41737</v>
      </c>
      <c r="G15" s="94"/>
      <c r="H15" s="95">
        <v>12546</v>
      </c>
      <c r="I15" s="51">
        <v>5271353.07</v>
      </c>
      <c r="J15" s="96"/>
      <c r="K15" s="51">
        <v>300000000</v>
      </c>
      <c r="L15" s="51">
        <f>'SALDOS  DIRECTA'!B19</f>
        <v>294117625.06000006</v>
      </c>
      <c r="M15" s="51">
        <v>0</v>
      </c>
      <c r="N15" s="1" t="s">
        <v>388</v>
      </c>
      <c r="O15" s="3"/>
    </row>
    <row r="16" spans="1:14" ht="12.75">
      <c r="A16" s="239" t="str">
        <f>'CREDITOS X PAGAR DIRECTA'!A18</f>
        <v>Bancomer 321 mdp 2014 LP</v>
      </c>
      <c r="B16" s="239" t="s">
        <v>62</v>
      </c>
      <c r="C16" s="92"/>
      <c r="D16" s="92" t="s">
        <v>64</v>
      </c>
      <c r="E16" s="93" t="s">
        <v>63</v>
      </c>
      <c r="F16" s="94">
        <v>41719</v>
      </c>
      <c r="G16" s="94"/>
      <c r="H16" s="95">
        <v>12603</v>
      </c>
      <c r="I16" s="51">
        <v>5818077.66</v>
      </c>
      <c r="J16" s="96"/>
      <c r="K16" s="51">
        <v>321666668</v>
      </c>
      <c r="L16" s="51">
        <f>'SALDOS  DIRECTA'!B20</f>
        <v>315891370.64</v>
      </c>
      <c r="M16" s="51">
        <v>0</v>
      </c>
      <c r="N16" s="1" t="s">
        <v>388</v>
      </c>
    </row>
    <row r="17" spans="1:14" ht="12.75">
      <c r="A17" s="265" t="s">
        <v>65</v>
      </c>
      <c r="B17" s="239"/>
      <c r="C17" s="92"/>
      <c r="D17" s="92"/>
      <c r="E17" s="266" t="s">
        <v>66</v>
      </c>
      <c r="F17" s="94"/>
      <c r="G17" s="94"/>
      <c r="H17" s="95">
        <v>49460</v>
      </c>
      <c r="I17" s="51">
        <v>2060000</v>
      </c>
      <c r="J17" s="96"/>
      <c r="K17" s="289">
        <v>62500000</v>
      </c>
      <c r="L17" s="51">
        <f>'SALDOS  DIRECTA'!B21</f>
        <v>61855563.989999995</v>
      </c>
      <c r="M17" s="51">
        <v>0</v>
      </c>
      <c r="N17" s="1" t="s">
        <v>388</v>
      </c>
    </row>
    <row r="18" spans="1:14" ht="12.75">
      <c r="A18" s="265" t="s">
        <v>67</v>
      </c>
      <c r="B18" s="239"/>
      <c r="C18" s="92"/>
      <c r="D18" s="92"/>
      <c r="E18" s="266" t="s">
        <v>68</v>
      </c>
      <c r="F18" s="94"/>
      <c r="G18" s="94"/>
      <c r="H18" s="95">
        <v>49492</v>
      </c>
      <c r="I18" s="51">
        <v>26500000</v>
      </c>
      <c r="J18" s="96"/>
      <c r="K18" s="51">
        <v>750000000</v>
      </c>
      <c r="L18" s="51">
        <f>'SALDOS  DIRECTA'!B24</f>
        <v>742799453.8100002</v>
      </c>
      <c r="M18" s="51">
        <v>0</v>
      </c>
      <c r="N18" s="1" t="s">
        <v>388</v>
      </c>
    </row>
    <row r="19" spans="1:13" ht="12.75">
      <c r="A19" s="265" t="s">
        <v>436</v>
      </c>
      <c r="B19" s="239"/>
      <c r="C19" s="92"/>
      <c r="D19" s="92"/>
      <c r="E19" s="266" t="s">
        <v>441</v>
      </c>
      <c r="F19" s="94"/>
      <c r="G19" s="94"/>
      <c r="H19" s="95">
        <v>49915</v>
      </c>
      <c r="I19" s="51">
        <v>8258551.21</v>
      </c>
      <c r="J19" s="96"/>
      <c r="K19" s="51">
        <v>1000000000</v>
      </c>
      <c r="L19" s="51">
        <f>'SALDOS  DIRECTA'!B23</f>
        <v>999386665.15</v>
      </c>
      <c r="M19" s="51">
        <v>0</v>
      </c>
    </row>
    <row r="20" spans="1:13" ht="12.75">
      <c r="A20" s="265" t="s">
        <v>437</v>
      </c>
      <c r="B20" s="239"/>
      <c r="C20" s="92"/>
      <c r="D20" s="92"/>
      <c r="E20" s="266" t="s">
        <v>442</v>
      </c>
      <c r="F20" s="94"/>
      <c r="G20" s="94"/>
      <c r="H20" s="95">
        <v>49945</v>
      </c>
      <c r="I20" s="51">
        <v>0</v>
      </c>
      <c r="J20" s="96"/>
      <c r="K20" s="51">
        <v>1500000000</v>
      </c>
      <c r="L20" s="51">
        <f>'SALDOS  DIRECTA'!B22</f>
        <v>1500000000</v>
      </c>
      <c r="M20" s="51">
        <v>0</v>
      </c>
    </row>
    <row r="21" spans="1:14" ht="12.75">
      <c r="A21" s="239" t="str">
        <f>'SALDOS  DIRECTA'!A25</f>
        <v>Santander 923 mdp 2014 LP</v>
      </c>
      <c r="B21" s="239" t="s">
        <v>62</v>
      </c>
      <c r="C21" s="92">
        <v>0.0245</v>
      </c>
      <c r="D21" s="92" t="str">
        <f>D35</f>
        <v>MONEX 1753</v>
      </c>
      <c r="E21" s="266" t="s">
        <v>400</v>
      </c>
      <c r="F21" s="94">
        <v>41816</v>
      </c>
      <c r="G21" s="94"/>
      <c r="H21" s="95">
        <v>49136</v>
      </c>
      <c r="I21" s="51">
        <v>38108958.73</v>
      </c>
      <c r="J21" s="96"/>
      <c r="K21" s="51">
        <v>923896013.78</v>
      </c>
      <c r="L21" s="51">
        <f>'SALDOS  DIRECTA'!B25</f>
        <v>907308114.8299999</v>
      </c>
      <c r="M21" s="51">
        <v>0</v>
      </c>
      <c r="N21" s="1" t="s">
        <v>388</v>
      </c>
    </row>
    <row r="22" spans="1:15" ht="12.75">
      <c r="A22" s="98" t="s">
        <v>69</v>
      </c>
      <c r="B22" s="98"/>
      <c r="C22" s="99">
        <f>SUM(C6:C21)</f>
        <v>0.3606</v>
      </c>
      <c r="D22" s="99"/>
      <c r="E22" s="93"/>
      <c r="F22" s="94"/>
      <c r="G22" s="94"/>
      <c r="H22" s="95"/>
      <c r="I22" s="77">
        <f>SUM(I6:I21)</f>
        <v>298138138.31</v>
      </c>
      <c r="J22" s="77">
        <f>SUM(J6:K16)</f>
        <v>11206702682.75</v>
      </c>
      <c r="K22" s="77">
        <f>SUM(K6:K21)</f>
        <v>15443098696.53</v>
      </c>
      <c r="L22" s="77">
        <f>SUM(L6:L21)</f>
        <v>14673763333.289778</v>
      </c>
      <c r="M22" s="77">
        <v>0</v>
      </c>
      <c r="N22" s="8"/>
      <c r="O22" s="9"/>
    </row>
    <row r="24" spans="1:15" ht="12.75">
      <c r="A24" s="88" t="s">
        <v>70</v>
      </c>
      <c r="B24" s="88"/>
      <c r="C24" s="89"/>
      <c r="D24" s="89"/>
      <c r="E24" s="93"/>
      <c r="F24" s="94"/>
      <c r="G24" s="94"/>
      <c r="H24" s="95"/>
      <c r="I24" s="77"/>
      <c r="J24" s="100"/>
      <c r="K24" s="77"/>
      <c r="L24" s="77"/>
      <c r="M24" s="77"/>
      <c r="N24" s="8"/>
      <c r="O24" s="8"/>
    </row>
    <row r="25" spans="1:15" ht="12.75">
      <c r="A25" s="267" t="s">
        <v>414</v>
      </c>
      <c r="B25" s="88"/>
      <c r="C25" s="89"/>
      <c r="D25" s="89"/>
      <c r="E25" s="93" t="s">
        <v>415</v>
      </c>
      <c r="F25" s="94"/>
      <c r="G25" s="94"/>
      <c r="H25" s="95">
        <v>42598</v>
      </c>
      <c r="I25" s="289">
        <v>0</v>
      </c>
      <c r="J25" s="100"/>
      <c r="K25" s="289">
        <v>500000000</v>
      </c>
      <c r="L25" s="289">
        <f>'SALDOS  DIRECTA'!B11</f>
        <v>0</v>
      </c>
      <c r="M25" s="77"/>
      <c r="N25" s="8"/>
      <c r="O25" s="8"/>
    </row>
    <row r="26" spans="1:15" s="127" customFormat="1" ht="12.75">
      <c r="A26" s="265" t="str">
        <f>'SALDOS  DIRECTA'!A14</f>
        <v>INTERACCIONES no. 430787 2016 855 mdp</v>
      </c>
      <c r="B26" s="267"/>
      <c r="C26" s="92"/>
      <c r="D26" s="92"/>
      <c r="E26" s="266" t="s">
        <v>409</v>
      </c>
      <c r="F26" s="268"/>
      <c r="G26" s="268"/>
      <c r="H26" s="269" t="s">
        <v>402</v>
      </c>
      <c r="I26" s="289">
        <v>0</v>
      </c>
      <c r="J26" s="301"/>
      <c r="K26" s="289">
        <v>855970029</v>
      </c>
      <c r="L26" s="289">
        <f>'SALDOS  DIRECTA'!B14</f>
        <v>855970029</v>
      </c>
      <c r="M26" s="289">
        <v>0</v>
      </c>
      <c r="N26" s="8"/>
      <c r="O26" s="8"/>
    </row>
    <row r="27" spans="1:15" ht="12.75">
      <c r="A27" s="265" t="str">
        <f>'SALDOS  DIRECTA'!A16</f>
        <v>INTERACCIONES CC NO. 427825 736 MDP</v>
      </c>
      <c r="B27" s="88"/>
      <c r="C27" s="89"/>
      <c r="D27" s="89"/>
      <c r="E27" s="266" t="s">
        <v>439</v>
      </c>
      <c r="F27" s="94"/>
      <c r="G27" s="94"/>
      <c r="H27" s="269" t="s">
        <v>426</v>
      </c>
      <c r="I27" s="289">
        <v>34184202.96</v>
      </c>
      <c r="J27" s="100"/>
      <c r="K27" s="289">
        <v>736728512</v>
      </c>
      <c r="L27" s="289">
        <f>'SALDOS  DIRECTA'!B16</f>
        <v>184182127.97000003</v>
      </c>
      <c r="M27" s="289">
        <v>0</v>
      </c>
      <c r="N27" s="8"/>
      <c r="O27" s="8"/>
    </row>
    <row r="28" spans="1:15" ht="12.75">
      <c r="A28" s="98" t="s">
        <v>71</v>
      </c>
      <c r="B28" s="98"/>
      <c r="C28" s="99" t="e">
        <f>SUM(#REF!)</f>
        <v>#REF!</v>
      </c>
      <c r="D28" s="99"/>
      <c r="E28" s="93"/>
      <c r="F28" s="94"/>
      <c r="G28" s="94"/>
      <c r="H28" s="95"/>
      <c r="I28" s="77">
        <f>I26+I25+I27</f>
        <v>34184202.96</v>
      </c>
      <c r="J28" s="100"/>
      <c r="K28" s="77">
        <f>K27+K26+K25</f>
        <v>2092698541</v>
      </c>
      <c r="L28" s="101">
        <f>L27+L26+L25</f>
        <v>1040152156.97</v>
      </c>
      <c r="M28" s="77">
        <f>M27+M26</f>
        <v>0</v>
      </c>
      <c r="O28" s="3"/>
    </row>
    <row r="29" spans="1:13" ht="12.75">
      <c r="A29" s="66"/>
      <c r="B29" s="66"/>
      <c r="C29" s="92"/>
      <c r="D29" s="92"/>
      <c r="E29" s="93"/>
      <c r="F29" s="94"/>
      <c r="G29" s="94"/>
      <c r="H29" s="95"/>
      <c r="I29" s="77"/>
      <c r="J29" s="100"/>
      <c r="K29" s="77"/>
      <c r="L29" s="51"/>
      <c r="M29" s="51"/>
    </row>
    <row r="30" spans="1:13" ht="12.75">
      <c r="A30" s="76" t="s">
        <v>28</v>
      </c>
      <c r="B30" s="76"/>
      <c r="C30" s="99"/>
      <c r="D30" s="99"/>
      <c r="E30" s="93" t="s">
        <v>72</v>
      </c>
      <c r="F30" s="94"/>
      <c r="G30" s="94"/>
      <c r="H30" s="95"/>
      <c r="I30" s="77">
        <f>I22+I28</f>
        <v>332322341.27</v>
      </c>
      <c r="J30" s="100"/>
      <c r="K30" s="77"/>
      <c r="L30" s="77">
        <f>L22+L28</f>
        <v>15713915490.259777</v>
      </c>
      <c r="M30" s="77">
        <f>M22+M28</f>
        <v>0</v>
      </c>
    </row>
    <row r="31" spans="1:13" ht="12.75">
      <c r="A31" s="76"/>
      <c r="B31" s="76"/>
      <c r="C31" s="99"/>
      <c r="D31" s="99"/>
      <c r="E31" s="93"/>
      <c r="F31" s="94"/>
      <c r="G31" s="94"/>
      <c r="H31" s="95"/>
      <c r="I31" s="51"/>
      <c r="J31" s="96"/>
      <c r="K31" s="51"/>
      <c r="L31" s="51"/>
      <c r="M31" s="51"/>
    </row>
    <row r="32" spans="1:13" ht="15">
      <c r="A32" s="102" t="s">
        <v>29</v>
      </c>
      <c r="B32" s="102"/>
      <c r="C32" s="103"/>
      <c r="D32" s="103"/>
      <c r="E32" s="72"/>
      <c r="F32" s="90"/>
      <c r="G32" s="90"/>
      <c r="H32" s="95"/>
      <c r="I32" s="51"/>
      <c r="J32" s="96"/>
      <c r="K32" s="51"/>
      <c r="L32" s="51"/>
      <c r="M32" s="51"/>
    </row>
    <row r="33" spans="1:13" ht="12.75">
      <c r="A33" s="88" t="s">
        <v>45</v>
      </c>
      <c r="B33" s="88"/>
      <c r="C33" s="89"/>
      <c r="D33" s="89"/>
      <c r="E33" s="72"/>
      <c r="F33" s="90"/>
      <c r="G33" s="90"/>
      <c r="H33" s="95"/>
      <c r="I33" s="51"/>
      <c r="J33" s="96"/>
      <c r="K33" s="51"/>
      <c r="L33" s="51"/>
      <c r="M33" s="51"/>
    </row>
    <row r="34" spans="1:14" ht="12.75">
      <c r="A34" s="74" t="str">
        <f>'SALDOS  DIRECTA'!A30</f>
        <v>BANOBRAS 2,040 MDP 2014 Registro 002</v>
      </c>
      <c r="B34" s="74" t="str">
        <f>B14</f>
        <v>Decreto 93, (reestructura)</v>
      </c>
      <c r="C34" s="97">
        <v>0.065</v>
      </c>
      <c r="D34" s="97" t="s">
        <v>73</v>
      </c>
      <c r="E34" s="127" t="s">
        <v>400</v>
      </c>
      <c r="F34" s="104">
        <v>41806</v>
      </c>
      <c r="G34" s="104"/>
      <c r="H34" s="95">
        <v>49111</v>
      </c>
      <c r="I34" s="75">
        <v>27952948.64</v>
      </c>
      <c r="J34" s="105"/>
      <c r="K34" s="75">
        <v>2030295512.69</v>
      </c>
      <c r="L34" s="75">
        <f>'SALDOS  DIRECTA'!B30</f>
        <v>1994383373.33</v>
      </c>
      <c r="M34" s="75">
        <v>0</v>
      </c>
      <c r="N34" s="1" t="s">
        <v>388</v>
      </c>
    </row>
    <row r="35" spans="1:14" ht="12.75">
      <c r="A35" s="74" t="s">
        <v>74</v>
      </c>
      <c r="B35" s="74" t="str">
        <f>B15</f>
        <v>Decreto 93, (reestructura)</v>
      </c>
      <c r="C35" s="97">
        <v>0.058</v>
      </c>
      <c r="D35" s="97" t="s">
        <v>73</v>
      </c>
      <c r="E35" s="127" t="s">
        <v>400</v>
      </c>
      <c r="F35" s="104">
        <v>41795</v>
      </c>
      <c r="G35" s="104"/>
      <c r="H35" s="95">
        <f>H34</f>
        <v>49111</v>
      </c>
      <c r="I35" s="75">
        <v>23409120.2</v>
      </c>
      <c r="J35" s="105"/>
      <c r="K35" s="75">
        <v>1703567971.46</v>
      </c>
      <c r="L35" s="75">
        <f>'SALDOS  DIRECTA'!B31</f>
        <v>1671582388.48</v>
      </c>
      <c r="M35" s="75"/>
      <c r="N35" s="1" t="s">
        <v>388</v>
      </c>
    </row>
    <row r="36" spans="1:13" ht="12.75">
      <c r="A36" s="50" t="s">
        <v>31</v>
      </c>
      <c r="B36" s="50"/>
      <c r="C36" s="106">
        <f>SUM(C34:C35)</f>
        <v>0.123</v>
      </c>
      <c r="D36" s="106"/>
      <c r="E36" s="5"/>
      <c r="F36" s="86"/>
      <c r="G36" s="86"/>
      <c r="H36" s="107"/>
      <c r="I36" s="79">
        <f>SUM(I34:I35)</f>
        <v>51362068.84</v>
      </c>
      <c r="J36" s="108"/>
      <c r="K36" s="79">
        <f>SUM(K34:K35)</f>
        <v>3733863484.15</v>
      </c>
      <c r="L36" s="79">
        <f>SUM(L34:L35)</f>
        <v>3665965761.81</v>
      </c>
      <c r="M36" s="79">
        <f>SUM(M34:M35)</f>
        <v>0</v>
      </c>
    </row>
    <row r="37" spans="1:13" ht="12.75">
      <c r="A37" s="5"/>
      <c r="B37" s="5"/>
      <c r="E37" s="5"/>
      <c r="F37" s="86"/>
      <c r="G37" s="86"/>
      <c r="H37" s="107"/>
      <c r="I37" s="54"/>
      <c r="J37" s="105"/>
      <c r="K37" s="54"/>
      <c r="L37" s="54"/>
      <c r="M37" s="54"/>
    </row>
    <row r="38" spans="1:13" ht="12.75">
      <c r="A38" s="78" t="s">
        <v>19</v>
      </c>
      <c r="B38" s="78"/>
      <c r="C38" s="106" t="e">
        <f>C22+C28+C36</f>
        <v>#REF!</v>
      </c>
      <c r="D38" s="106"/>
      <c r="E38" s="5"/>
      <c r="F38" s="86"/>
      <c r="G38" s="86"/>
      <c r="H38" s="107"/>
      <c r="I38" s="79">
        <f>I36+I30</f>
        <v>383684410.11</v>
      </c>
      <c r="J38" s="108"/>
      <c r="K38" s="79"/>
      <c r="L38" s="79">
        <f>L30+L36</f>
        <v>19379881252.06978</v>
      </c>
      <c r="M38" s="79">
        <f>M22+M36</f>
        <v>0</v>
      </c>
    </row>
    <row r="39" spans="1:13" ht="12.75">
      <c r="A39" s="78"/>
      <c r="B39" s="5"/>
      <c r="C39" s="97">
        <f>5.95%+4.6%</f>
        <v>0.10550000000000001</v>
      </c>
      <c r="E39" s="5"/>
      <c r="F39" s="86"/>
      <c r="G39" s="86"/>
      <c r="H39" s="107"/>
      <c r="I39" s="107"/>
      <c r="J39" s="109"/>
      <c r="K39" s="107"/>
      <c r="L39" s="65"/>
      <c r="M39" s="65"/>
    </row>
    <row r="40" spans="1:19" ht="12.75">
      <c r="A40" s="78"/>
      <c r="B40" s="5"/>
      <c r="C40" s="97" t="e">
        <f>C38+C39</f>
        <v>#REF!</v>
      </c>
      <c r="E40" s="5"/>
      <c r="F40" s="86"/>
      <c r="G40" s="86"/>
      <c r="H40" s="107"/>
      <c r="I40" s="107"/>
      <c r="J40" s="109"/>
      <c r="K40" s="107"/>
      <c r="L40" s="110">
        <f>L22+L36</f>
        <v>18339729095.099777</v>
      </c>
      <c r="M40" s="111"/>
      <c r="N40" s="10"/>
      <c r="O40" s="5"/>
      <c r="P40" s="5"/>
      <c r="Q40" s="5"/>
      <c r="R40" s="5"/>
      <c r="S40" s="5"/>
    </row>
    <row r="41" spans="1:19" ht="12.75">
      <c r="A41" s="5"/>
      <c r="B41" s="5"/>
      <c r="E41" s="5"/>
      <c r="F41" s="86"/>
      <c r="G41" s="86"/>
      <c r="H41" s="107"/>
      <c r="I41" s="107"/>
      <c r="J41" s="109"/>
      <c r="K41" s="107"/>
      <c r="L41" s="10"/>
      <c r="M41" s="10"/>
      <c r="N41" s="10"/>
      <c r="O41" s="5"/>
      <c r="P41" s="5"/>
      <c r="Q41" s="5"/>
      <c r="R41" s="5"/>
      <c r="S41" s="5"/>
    </row>
    <row r="43" spans="11:12" ht="25.5">
      <c r="K43" s="378"/>
      <c r="L43" s="114" t="str">
        <f>L1</f>
        <v>SALDO AL 30 DE SEPTIEMBRE 2016</v>
      </c>
    </row>
    <row r="44" spans="11:12" ht="12.75">
      <c r="K44" s="379"/>
      <c r="L44" s="115"/>
    </row>
    <row r="45" spans="11:12" ht="12.75">
      <c r="K45" s="59" t="s">
        <v>75</v>
      </c>
      <c r="L45" s="6">
        <f>L38</f>
        <v>19379881252.06978</v>
      </c>
    </row>
    <row r="46" spans="11:12" ht="12.75">
      <c r="K46" s="2" t="s">
        <v>76</v>
      </c>
      <c r="L46" s="6">
        <v>0</v>
      </c>
    </row>
    <row r="47" spans="11:12" ht="12.75">
      <c r="K47" s="2" t="s">
        <v>77</v>
      </c>
      <c r="L47" s="6">
        <f>'SALDO MPIO NO AVALADO'!E196</f>
        <v>4503566362.2069025</v>
      </c>
    </row>
    <row r="48" spans="11:12" ht="12.75">
      <c r="K48" s="2" t="s">
        <v>78</v>
      </c>
      <c r="L48" s="6">
        <f>'RELACION DE DEUDA DE ORGANISMOS'!F29</f>
        <v>1407830782.77</v>
      </c>
    </row>
    <row r="49" spans="1:12" ht="15">
      <c r="A49" s="116"/>
      <c r="K49" s="117" t="s">
        <v>2</v>
      </c>
      <c r="L49" s="118">
        <f>SUM(L45:L48)</f>
        <v>25291278397.04668</v>
      </c>
    </row>
    <row r="51" spans="11:12" ht="25.5">
      <c r="K51" s="119" t="s">
        <v>79</v>
      </c>
      <c r="L51" s="3">
        <f>L49-L45</f>
        <v>5911397144.976902</v>
      </c>
    </row>
  </sheetData>
  <sheetProtection/>
  <mergeCells count="11">
    <mergeCell ref="H1:H2"/>
    <mergeCell ref="K43:K44"/>
    <mergeCell ref="I1:I2"/>
    <mergeCell ref="J1:J2"/>
    <mergeCell ref="K1:K2"/>
    <mergeCell ref="L1:M1"/>
    <mergeCell ref="B1:B2"/>
    <mergeCell ref="D1:D2"/>
    <mergeCell ref="E1:E2"/>
    <mergeCell ref="F1:F2"/>
    <mergeCell ref="G1:G2"/>
  </mergeCells>
  <dataValidations count="1">
    <dataValidation type="date" allowBlank="1" showInputMessage="1" showErrorMessage="1" error="Solo fechas con formato dd-mm-aaaa" sqref="F13"/>
  </dataValidations>
  <printOptions horizontalCentered="1"/>
  <pageMargins left="0.5905511811023623" right="0.5905511811023623" top="1.3779527559055118" bottom="0" header="0" footer="0"/>
  <pageSetup fitToHeight="1" fitToWidth="1" horizontalDpi="300" verticalDpi="300" orientation="landscape" pageOrder="overThenDown" scale="81" r:id="rId4"/>
  <headerFooter alignWithMargins="0">
    <oddHeader>&amp;L&amp;G&amp;C
&amp;"Arial,Negrita"GOBIERNO DEL ESTADO DE SONORA
DIRECCIÓN GENERAL DE CRÉDITO PÚBLICO
RELACIÓN DE DEUDA DIRECTA SEPTIEMBRE 2016
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view="pageBreakPreview" zoomScale="70" zoomScaleSheetLayoutView="70" zoomScalePageLayoutView="80" workbookViewId="0" topLeftCell="A1">
      <selection activeCell="L66" sqref="L66"/>
    </sheetView>
  </sheetViews>
  <sheetFormatPr defaultColWidth="19.8515625" defaultRowHeight="12.75"/>
  <cols>
    <col min="1" max="1" width="58.00390625" style="1" customWidth="1"/>
    <col min="2" max="2" width="56.00390625" style="1" hidden="1" customWidth="1"/>
    <col min="3" max="3" width="19.8515625" style="97" hidden="1" customWidth="1"/>
    <col min="4" max="4" width="24.140625" style="97" hidden="1" customWidth="1"/>
    <col min="5" max="5" width="12.57421875" style="1" customWidth="1"/>
    <col min="6" max="7" width="19.8515625" style="112" hidden="1" customWidth="1"/>
    <col min="8" max="8" width="13.421875" style="1" customWidth="1"/>
    <col min="9" max="9" width="20.421875" style="1" hidden="1" customWidth="1"/>
    <col min="10" max="10" width="30.28125" style="113" hidden="1" customWidth="1"/>
    <col min="11" max="11" width="21.57421875" style="1" hidden="1" customWidth="1"/>
    <col min="12" max="12" width="21.57421875" style="1" customWidth="1"/>
    <col min="13" max="13" width="24.7109375" style="1" customWidth="1"/>
    <col min="14" max="14" width="28.8515625" style="1" customWidth="1"/>
    <col min="15" max="16" width="20.140625" style="1" hidden="1" customWidth="1"/>
    <col min="17" max="17" width="20.421875" style="1" hidden="1" customWidth="1"/>
    <col min="18" max="16384" width="19.8515625" style="1" customWidth="1"/>
  </cols>
  <sheetData>
    <row r="1" spans="1:17" ht="26.25" customHeight="1">
      <c r="A1" s="1" t="s">
        <v>72</v>
      </c>
      <c r="B1" s="383" t="s">
        <v>34</v>
      </c>
      <c r="C1" s="82" t="s">
        <v>35</v>
      </c>
      <c r="D1" s="384" t="s">
        <v>36</v>
      </c>
      <c r="E1" s="386" t="s">
        <v>37</v>
      </c>
      <c r="F1" s="387" t="s">
        <v>38</v>
      </c>
      <c r="G1" s="388" t="s">
        <v>39</v>
      </c>
      <c r="H1" s="380" t="s">
        <v>40</v>
      </c>
      <c r="I1" s="380" t="s">
        <v>41</v>
      </c>
      <c r="J1" s="380" t="s">
        <v>42</v>
      </c>
      <c r="K1" s="380" t="s">
        <v>43</v>
      </c>
      <c r="L1" s="389" t="s">
        <v>452</v>
      </c>
      <c r="M1" s="391" t="s">
        <v>444</v>
      </c>
      <c r="N1" s="210" t="s">
        <v>431</v>
      </c>
      <c r="O1" s="386" t="s">
        <v>367</v>
      </c>
      <c r="P1" s="386"/>
      <c r="Q1" s="386"/>
    </row>
    <row r="2" spans="1:17" ht="25.5">
      <c r="A2" s="5"/>
      <c r="B2" s="383"/>
      <c r="C2" s="82" t="s">
        <v>44</v>
      </c>
      <c r="D2" s="385"/>
      <c r="E2" s="386"/>
      <c r="F2" s="387"/>
      <c r="G2" s="388"/>
      <c r="H2" s="380"/>
      <c r="I2" s="380"/>
      <c r="J2" s="380"/>
      <c r="K2" s="380"/>
      <c r="L2" s="390"/>
      <c r="M2" s="392"/>
      <c r="N2" s="211" t="s">
        <v>22</v>
      </c>
      <c r="O2" s="208" t="s">
        <v>5</v>
      </c>
      <c r="P2" s="208" t="s">
        <v>6</v>
      </c>
      <c r="Q2" s="208" t="s">
        <v>2</v>
      </c>
    </row>
    <row r="3" spans="1:14" ht="15">
      <c r="A3" s="71" t="s">
        <v>24</v>
      </c>
      <c r="B3" s="71"/>
      <c r="C3" s="85"/>
      <c r="D3" s="85"/>
      <c r="E3" s="5"/>
      <c r="F3" s="86"/>
      <c r="G3" s="86"/>
      <c r="H3" s="5"/>
      <c r="I3" s="5"/>
      <c r="J3" s="87"/>
      <c r="K3" s="5"/>
      <c r="L3" s="5"/>
      <c r="M3" s="5"/>
      <c r="N3" s="5"/>
    </row>
    <row r="4" spans="1:14" ht="12.75">
      <c r="A4" s="88" t="s">
        <v>45</v>
      </c>
      <c r="B4" s="88"/>
      <c r="C4" s="89"/>
      <c r="D4" s="89"/>
      <c r="E4" s="72"/>
      <c r="F4" s="90"/>
      <c r="G4" s="90"/>
      <c r="H4" s="72"/>
      <c r="I4" s="72"/>
      <c r="J4" s="91"/>
      <c r="K4" s="72"/>
      <c r="L4" s="72"/>
      <c r="M4" s="72"/>
      <c r="N4" s="72"/>
    </row>
    <row r="5" spans="1:14" ht="12.75">
      <c r="A5" s="88"/>
      <c r="B5" s="88"/>
      <c r="C5" s="89"/>
      <c r="D5" s="89"/>
      <c r="E5" s="72"/>
      <c r="F5" s="90"/>
      <c r="G5" s="90"/>
      <c r="H5" s="72"/>
      <c r="I5" s="72"/>
      <c r="J5" s="91"/>
      <c r="K5" s="72"/>
      <c r="L5" s="72"/>
      <c r="M5" s="72"/>
      <c r="N5" s="72"/>
    </row>
    <row r="6" spans="1:17" ht="12.75">
      <c r="A6" s="303" t="str">
        <f>+'SALDOS  DIRECTA'!A12</f>
        <v>D001 BANORTE / CRÉDITO SIMPLE $4,419 MDP</v>
      </c>
      <c r="B6" s="212" t="e">
        <f>#REF!</f>
        <v>#REF!</v>
      </c>
      <c r="C6" s="97">
        <v>0.15</v>
      </c>
      <c r="D6" s="97" t="s">
        <v>56</v>
      </c>
      <c r="E6" s="93" t="str">
        <f>'DEUDA DIRECTA'!E10</f>
        <v>TIIE+0.68</v>
      </c>
      <c r="F6" s="94">
        <v>40529</v>
      </c>
      <c r="G6" s="94">
        <v>40597</v>
      </c>
      <c r="H6" s="95">
        <f>'DEUDA DIRECTA'!H10</f>
        <v>50511</v>
      </c>
      <c r="I6" s="26">
        <f>'DEUDA DIRECTA'!I10</f>
        <v>99945889.95</v>
      </c>
      <c r="J6" s="247" t="s">
        <v>50</v>
      </c>
      <c r="K6" s="248">
        <f>'DEUDA DIRECTA'!K10</f>
        <v>4419000000</v>
      </c>
      <c r="L6" s="358">
        <v>0.15</v>
      </c>
      <c r="M6" s="353">
        <v>66576558</v>
      </c>
      <c r="N6" s="248">
        <f>'DEUDA DIRECTA'!L10</f>
        <v>4777073408.289782</v>
      </c>
      <c r="O6" s="311">
        <f>'CREDITOS X PAGAR DIRECTA'!B10</f>
        <v>2116106.92</v>
      </c>
      <c r="P6" s="311">
        <f>'CREDITOS X PAGAR DIRECTA'!C10</f>
        <v>23794310.15</v>
      </c>
      <c r="Q6" s="63">
        <f>O6+P6</f>
        <v>25910417.07</v>
      </c>
    </row>
    <row r="7" spans="1:17" ht="12.75">
      <c r="A7" s="351" t="s">
        <v>437</v>
      </c>
      <c r="B7" s="212"/>
      <c r="E7" s="93" t="str">
        <f>'DEUDA DIRECTA'!E20</f>
        <v>TIIE + 2.1</v>
      </c>
      <c r="F7" s="94"/>
      <c r="G7" s="94"/>
      <c r="H7" s="95">
        <f>'DEUDA DIRECTA'!H20</f>
        <v>49945</v>
      </c>
      <c r="I7" s="26">
        <f>'DEUDA DIRECTA'!I20</f>
        <v>0</v>
      </c>
      <c r="J7" s="247"/>
      <c r="K7" s="248">
        <f>'DEUDA DIRECTA'!K20</f>
        <v>1500000000</v>
      </c>
      <c r="L7" s="358">
        <v>0.04</v>
      </c>
      <c r="M7" s="353">
        <v>83117846</v>
      </c>
      <c r="N7" s="248">
        <f>'SALDOS  DIRECTA'!B22</f>
        <v>1500000000</v>
      </c>
      <c r="O7" s="311">
        <f>'CREDITOS X PAGAR DIRECTA'!B23</f>
        <v>0</v>
      </c>
      <c r="P7" s="311">
        <f>'CREDITOS X PAGAR DIRECTA'!C23</f>
        <v>0</v>
      </c>
      <c r="Q7" s="63">
        <f>O7+P7</f>
        <v>0</v>
      </c>
    </row>
    <row r="8" spans="1:17" ht="12.75">
      <c r="A8" s="303" t="s">
        <v>13</v>
      </c>
      <c r="B8" s="212"/>
      <c r="E8" s="93" t="str">
        <f>'DEUDA DIRECTA'!E11</f>
        <v>TIIE + 0.98</v>
      </c>
      <c r="F8" s="94"/>
      <c r="G8" s="94"/>
      <c r="H8" s="95">
        <f>'DEUDA DIRECTA'!H11</f>
        <v>45643</v>
      </c>
      <c r="I8" s="26">
        <f>'DEUDA DIRECTA'!I11</f>
        <v>13964675.2</v>
      </c>
      <c r="J8" s="247"/>
      <c r="K8" s="248">
        <f>'DEUDA DIRECTA'!K11</f>
        <v>650000000</v>
      </c>
      <c r="L8" s="359">
        <v>0.033</v>
      </c>
      <c r="M8" s="353">
        <v>70896420</v>
      </c>
      <c r="N8" s="248">
        <f>'DEUDA DIRECTA'!L11</f>
        <v>597549979.14</v>
      </c>
      <c r="O8" s="311">
        <f>'CREDITOS X PAGAR DIRECTA'!B11</f>
        <v>2952847.06</v>
      </c>
      <c r="P8" s="311">
        <f>'CREDITOS X PAGAR DIRECTA'!C11</f>
        <v>2881537.84</v>
      </c>
      <c r="Q8" s="63">
        <f>O8+P8</f>
        <v>5834384.9</v>
      </c>
    </row>
    <row r="9" spans="1:17" ht="12.75">
      <c r="A9" s="78" t="s">
        <v>417</v>
      </c>
      <c r="B9" s="212"/>
      <c r="E9" s="93"/>
      <c r="F9" s="94"/>
      <c r="G9" s="94"/>
      <c r="H9" s="95"/>
      <c r="I9" s="28">
        <f aca="true" t="shared" si="0" ref="I9:Q9">SUM(I6:I8)</f>
        <v>113910565.15</v>
      </c>
      <c r="J9" s="28">
        <f t="shared" si="0"/>
        <v>0</v>
      </c>
      <c r="K9" s="28">
        <f t="shared" si="0"/>
        <v>6569000000</v>
      </c>
      <c r="L9" s="28"/>
      <c r="M9" s="354"/>
      <c r="N9" s="28">
        <f t="shared" si="0"/>
        <v>6874623387.429782</v>
      </c>
      <c r="O9" s="28">
        <f t="shared" si="0"/>
        <v>5068953.98</v>
      </c>
      <c r="P9" s="28">
        <f t="shared" si="0"/>
        <v>26675847.99</v>
      </c>
      <c r="Q9" s="28">
        <f t="shared" si="0"/>
        <v>31744801.97</v>
      </c>
    </row>
    <row r="10" spans="1:17" ht="12.75">
      <c r="A10" s="78"/>
      <c r="B10" s="212"/>
      <c r="E10" s="93"/>
      <c r="F10" s="94"/>
      <c r="G10" s="94"/>
      <c r="H10" s="95"/>
      <c r="I10" s="26"/>
      <c r="J10" s="247"/>
      <c r="K10" s="248"/>
      <c r="L10" s="248"/>
      <c r="M10" s="353"/>
      <c r="N10" s="248"/>
      <c r="O10" s="249"/>
      <c r="P10" s="249"/>
      <c r="Q10" s="12"/>
    </row>
    <row r="11" spans="1:17" ht="12.75">
      <c r="A11" s="294" t="s">
        <v>46</v>
      </c>
      <c r="B11" s="212" t="s">
        <v>47</v>
      </c>
      <c r="C11" s="92">
        <v>0.06</v>
      </c>
      <c r="D11" s="92" t="s">
        <v>48</v>
      </c>
      <c r="E11" s="93" t="str">
        <f>'DEUDA DIRECTA'!E6</f>
        <v>TIIE+0.69</v>
      </c>
      <c r="F11" s="94">
        <v>38267</v>
      </c>
      <c r="G11" s="94">
        <v>40651</v>
      </c>
      <c r="H11" s="95">
        <f>'DEUDA DIRECTA'!H6</f>
        <v>48764</v>
      </c>
      <c r="I11" s="26">
        <f>'DEUDA DIRECTA'!I6</f>
        <v>39500000</v>
      </c>
      <c r="J11" s="247" t="s">
        <v>50</v>
      </c>
      <c r="K11" s="26">
        <f>'DEUDA DIRECTA'!K6</f>
        <v>2241036014.75</v>
      </c>
      <c r="L11" s="360">
        <v>0.06</v>
      </c>
      <c r="M11" s="357" t="s">
        <v>447</v>
      </c>
      <c r="N11" s="26">
        <f>'DEUDA DIRECTA'!L6</f>
        <v>1652097648.2499995</v>
      </c>
      <c r="O11" s="63">
        <f>'CREDITOS X PAGAR DIRECTA'!B5</f>
        <v>8178701.23</v>
      </c>
      <c r="P11" s="63">
        <f>'CREDITOS X PAGAR DIRECTA'!C5</f>
        <v>7781604.56</v>
      </c>
      <c r="Q11" s="63">
        <f aca="true" t="shared" si="1" ref="Q11:Q17">O11+P11</f>
        <v>15960305.79</v>
      </c>
    </row>
    <row r="12" spans="1:17" ht="12.75">
      <c r="A12" s="294" t="s">
        <v>67</v>
      </c>
      <c r="B12" s="212"/>
      <c r="C12" s="92"/>
      <c r="D12" s="92"/>
      <c r="E12" s="93" t="str">
        <f>'DEUDA DIRECTA'!E18</f>
        <v>TIIE + 1.00</v>
      </c>
      <c r="F12" s="94"/>
      <c r="G12" s="94"/>
      <c r="H12" s="95">
        <f>'DEUDA DIRECTA'!H18</f>
        <v>49492</v>
      </c>
      <c r="I12" s="26">
        <f>'DEUDA DIRECTA'!I18</f>
        <v>26500000</v>
      </c>
      <c r="J12" s="247"/>
      <c r="K12" s="26">
        <f>'DEUDA DIRECTA'!K18</f>
        <v>750000000</v>
      </c>
      <c r="L12" s="361">
        <v>0.035</v>
      </c>
      <c r="M12" s="357" t="s">
        <v>448</v>
      </c>
      <c r="N12" s="26">
        <f>'DEUDA DIRECTA'!L18</f>
        <v>742799453.8100002</v>
      </c>
      <c r="O12" s="63">
        <f>'CREDITOS X PAGAR DIRECTA'!B20</f>
        <v>525694.13</v>
      </c>
      <c r="P12" s="63">
        <f>'CREDITOS X PAGAR DIRECTA'!C20</f>
        <v>3465753.5</v>
      </c>
      <c r="Q12" s="63">
        <f t="shared" si="1"/>
        <v>3991447.63</v>
      </c>
    </row>
    <row r="13" spans="1:17" ht="12.75">
      <c r="A13" s="294" t="s">
        <v>14</v>
      </c>
      <c r="B13" s="212" t="s">
        <v>62</v>
      </c>
      <c r="C13" s="92">
        <v>0.0203</v>
      </c>
      <c r="D13" s="92" t="s">
        <v>56</v>
      </c>
      <c r="E13" s="93" t="str">
        <f>'DEUDA DIRECTA'!E14</f>
        <v>TIIE + 0.84</v>
      </c>
      <c r="F13" s="94">
        <v>41719</v>
      </c>
      <c r="G13" s="94"/>
      <c r="H13" s="95">
        <f>'DEUDA DIRECTA'!H14</f>
        <v>12546</v>
      </c>
      <c r="I13" s="26">
        <f>'DEUDA DIRECTA'!I14</f>
        <v>5710632.49</v>
      </c>
      <c r="J13" s="247"/>
      <c r="K13" s="26">
        <f>'DEUDA DIRECTA'!K14</f>
        <v>325000000</v>
      </c>
      <c r="L13" s="361">
        <v>0.0203</v>
      </c>
      <c r="M13" s="357" t="s">
        <v>449</v>
      </c>
      <c r="N13" s="26">
        <f>'DEUDA DIRECTA'!L14</f>
        <v>318627427.13000005</v>
      </c>
      <c r="O13" s="63">
        <f>'CREDITOS X PAGAR DIRECTA'!B16</f>
        <v>270489.1</v>
      </c>
      <c r="P13" s="63">
        <f>'CREDITOS X PAGAR DIRECTA'!C16</f>
        <v>1441950.08</v>
      </c>
      <c r="Q13" s="63">
        <f t="shared" si="1"/>
        <v>1712439.1800000002</v>
      </c>
    </row>
    <row r="14" spans="1:17" ht="12.75">
      <c r="A14" s="294" t="s">
        <v>16</v>
      </c>
      <c r="B14" s="212" t="s">
        <v>62</v>
      </c>
      <c r="C14" s="92"/>
      <c r="D14" s="92" t="s">
        <v>64</v>
      </c>
      <c r="E14" s="93" t="str">
        <f>'DEUDA DIRECTA'!E16</f>
        <v>TIIE + 0.84</v>
      </c>
      <c r="F14" s="94">
        <v>41719</v>
      </c>
      <c r="G14" s="94"/>
      <c r="H14" s="95">
        <f>'DEUDA DIRECTA'!H16</f>
        <v>12603</v>
      </c>
      <c r="I14" s="26">
        <f>'DEUDA DIRECTA'!I16</f>
        <v>5818077.66</v>
      </c>
      <c r="J14" s="247"/>
      <c r="K14" s="26">
        <f>'DEUDA DIRECTA'!K16</f>
        <v>321666668</v>
      </c>
      <c r="L14" s="361">
        <v>0.0201</v>
      </c>
      <c r="M14" s="357" t="s">
        <v>451</v>
      </c>
      <c r="N14" s="26">
        <f>'DEUDA DIRECTA'!L16</f>
        <v>315891370.64</v>
      </c>
      <c r="O14" s="63">
        <f>'CREDITOS X PAGAR DIRECTA'!B18</f>
        <v>260733.23</v>
      </c>
      <c r="P14" s="63">
        <f>'CREDITOS X PAGAR DIRECTA'!C18</f>
        <v>1571792.34</v>
      </c>
      <c r="Q14" s="63">
        <f t="shared" si="1"/>
        <v>1832525.57</v>
      </c>
    </row>
    <row r="15" spans="1:17" ht="12.75">
      <c r="A15" s="294" t="s">
        <v>15</v>
      </c>
      <c r="B15" s="212" t="s">
        <v>62</v>
      </c>
      <c r="C15" s="92">
        <v>0.0188</v>
      </c>
      <c r="D15" s="92" t="s">
        <v>56</v>
      </c>
      <c r="E15" s="93" t="str">
        <f>'DEUDA DIRECTA'!E15</f>
        <v>TIIE + 0.84</v>
      </c>
      <c r="F15" s="94">
        <v>41737</v>
      </c>
      <c r="G15" s="94"/>
      <c r="H15" s="95">
        <f>'DEUDA DIRECTA'!H15</f>
        <v>12546</v>
      </c>
      <c r="I15" s="26">
        <f>'DEUDA DIRECTA'!I15</f>
        <v>5271353.07</v>
      </c>
      <c r="J15" s="247"/>
      <c r="K15" s="26">
        <f>'DEUDA DIRECTA'!K15</f>
        <v>300000000</v>
      </c>
      <c r="L15" s="361">
        <v>0.0188</v>
      </c>
      <c r="M15" s="357" t="s">
        <v>450</v>
      </c>
      <c r="N15" s="26">
        <f>'DEUDA DIRECTA'!L15</f>
        <v>294117625.06000006</v>
      </c>
      <c r="O15" s="63">
        <f>'CREDITOS X PAGAR DIRECTA'!B17</f>
        <v>249682.25</v>
      </c>
      <c r="P15" s="63">
        <f>'CREDITOS X PAGAR DIRECTA'!C17</f>
        <v>1331030.84</v>
      </c>
      <c r="Q15" s="63">
        <f t="shared" si="1"/>
        <v>1580713.09</v>
      </c>
    </row>
    <row r="16" spans="1:17" ht="12.75">
      <c r="A16" s="294" t="s">
        <v>9</v>
      </c>
      <c r="B16" s="212" t="s">
        <v>51</v>
      </c>
      <c r="C16" s="92">
        <v>0.01</v>
      </c>
      <c r="D16" s="92" t="e">
        <v>#REF!</v>
      </c>
      <c r="E16" s="93" t="str">
        <f>'DEUDA DIRECTA'!E7</f>
        <v>TIIE+0.69</v>
      </c>
      <c r="F16" s="94">
        <v>38785</v>
      </c>
      <c r="G16" s="94" t="e">
        <v>#REF!</v>
      </c>
      <c r="H16" s="95">
        <f>'DEUDA DIRECTA'!H7</f>
        <v>48764</v>
      </c>
      <c r="I16" s="26">
        <f>'DEUDA DIRECTA'!I7</f>
        <v>6600000</v>
      </c>
      <c r="J16" s="247" t="s">
        <v>50</v>
      </c>
      <c r="K16" s="26">
        <f>'DEUDA DIRECTA'!K7</f>
        <v>350000000</v>
      </c>
      <c r="L16" s="361">
        <v>0.01</v>
      </c>
      <c r="M16" s="357" t="s">
        <v>446</v>
      </c>
      <c r="N16" s="26">
        <f>'DEUDA DIRECTA'!L7</f>
        <v>272677265.96000063</v>
      </c>
      <c r="O16" s="63">
        <f>'CREDITOS X PAGAR DIRECTA'!B6</f>
        <v>1349887.46</v>
      </c>
      <c r="P16" s="63">
        <f>'CREDITOS X PAGAR DIRECTA'!C6</f>
        <v>1284347</v>
      </c>
      <c r="Q16" s="63">
        <f t="shared" si="1"/>
        <v>2634234.46</v>
      </c>
    </row>
    <row r="17" spans="1:17" ht="12.75">
      <c r="A17" s="294" t="s">
        <v>65</v>
      </c>
      <c r="B17" s="212"/>
      <c r="C17" s="92"/>
      <c r="D17" s="92"/>
      <c r="E17" s="93" t="str">
        <f>'DEUDA DIRECTA'!E17</f>
        <v>TIIE + 1.16</v>
      </c>
      <c r="F17" s="94"/>
      <c r="G17" s="94"/>
      <c r="H17" s="95">
        <f>'DEUDA DIRECTA'!H17</f>
        <v>49460</v>
      </c>
      <c r="I17" s="26">
        <f>'DEUDA DIRECTA'!I17</f>
        <v>2060000</v>
      </c>
      <c r="J17" s="247"/>
      <c r="K17" s="26">
        <f>'DEUDA DIRECTA'!K17</f>
        <v>62500000</v>
      </c>
      <c r="L17" s="361">
        <v>0.005</v>
      </c>
      <c r="M17" s="356" t="s">
        <v>445</v>
      </c>
      <c r="N17" s="26">
        <f>'DEUDA DIRECTA'!L17</f>
        <v>61855563.989999995</v>
      </c>
      <c r="O17" s="63">
        <f>'CREDITOS X PAGAR DIRECTA'!B19</f>
        <v>44390.49</v>
      </c>
      <c r="P17" s="63">
        <f>'CREDITOS X PAGAR DIRECTA'!C19</f>
        <v>296861.87</v>
      </c>
      <c r="Q17" s="63">
        <f t="shared" si="1"/>
        <v>341252.36</v>
      </c>
    </row>
    <row r="18" spans="1:17" ht="12.75">
      <c r="A18" s="76" t="s">
        <v>418</v>
      </c>
      <c r="B18" s="212"/>
      <c r="C18" s="92"/>
      <c r="D18" s="92"/>
      <c r="E18" s="93"/>
      <c r="F18" s="94"/>
      <c r="G18" s="94"/>
      <c r="H18" s="95"/>
      <c r="I18" s="28">
        <f>SUM(I11:I17)</f>
        <v>91460063.22</v>
      </c>
      <c r="J18" s="28">
        <f aca="true" t="shared" si="2" ref="J18:Q18">SUM(J11:J17)</f>
        <v>0</v>
      </c>
      <c r="K18" s="28">
        <f t="shared" si="2"/>
        <v>4350202682.75</v>
      </c>
      <c r="L18" s="28"/>
      <c r="M18" s="354"/>
      <c r="N18" s="28">
        <f t="shared" si="2"/>
        <v>3658066354.8399997</v>
      </c>
      <c r="O18" s="28">
        <f t="shared" si="2"/>
        <v>10879577.890000002</v>
      </c>
      <c r="P18" s="28">
        <f t="shared" si="2"/>
        <v>17173340.19</v>
      </c>
      <c r="Q18" s="28">
        <f t="shared" si="2"/>
        <v>28052918.08</v>
      </c>
    </row>
    <row r="19" spans="1:17" ht="12.75">
      <c r="A19" s="76"/>
      <c r="B19" s="212"/>
      <c r="C19" s="92"/>
      <c r="D19" s="92"/>
      <c r="E19" s="93"/>
      <c r="F19" s="94"/>
      <c r="G19" s="94"/>
      <c r="H19" s="95"/>
      <c r="I19" s="26"/>
      <c r="J19" s="247"/>
      <c r="K19" s="26"/>
      <c r="L19" s="26"/>
      <c r="M19" s="352"/>
      <c r="N19" s="26"/>
      <c r="O19" s="12"/>
      <c r="P19" s="12"/>
      <c r="Q19" s="12"/>
    </row>
    <row r="20" spans="1:20" s="7" customFormat="1" ht="12.75" customHeight="1">
      <c r="A20" s="307" t="s">
        <v>59</v>
      </c>
      <c r="B20" s="212"/>
      <c r="C20" s="92" t="s">
        <v>60</v>
      </c>
      <c r="D20" s="92" t="s">
        <v>61</v>
      </c>
      <c r="E20" s="93" t="str">
        <f>'DEUDA DIRECTA'!E12</f>
        <v>TIIE+3.34</v>
      </c>
      <c r="F20" s="94">
        <v>41407</v>
      </c>
      <c r="G20" s="94"/>
      <c r="H20" s="95">
        <f>'DEUDA DIRECTA'!H12</f>
        <v>45789</v>
      </c>
      <c r="I20" s="26">
        <f>'DEUDA DIRECTA'!I12</f>
        <v>18400000</v>
      </c>
      <c r="J20" s="247"/>
      <c r="K20" s="26">
        <f>'DEUDA DIRECTA'!K12</f>
        <v>1000000000</v>
      </c>
      <c r="L20" s="365" t="s">
        <v>457</v>
      </c>
      <c r="M20" s="352">
        <v>365089</v>
      </c>
      <c r="N20" s="26">
        <f>'DEUDA DIRECTA'!L12</f>
        <v>903457833</v>
      </c>
      <c r="O20" s="311">
        <f>'CREDITOS X PAGAR DIRECTA'!B12</f>
        <v>5985456</v>
      </c>
      <c r="P20" s="311">
        <f>'CREDITOS X PAGAR DIRECTA'!C12</f>
        <v>6013693.8</v>
      </c>
      <c r="Q20" s="63">
        <f>O20+P20</f>
        <v>11999149.8</v>
      </c>
      <c r="R20" s="1"/>
      <c r="S20" s="1"/>
      <c r="T20" s="1"/>
    </row>
    <row r="21" spans="1:20" s="7" customFormat="1" ht="12.75" customHeight="1">
      <c r="A21" s="307" t="s">
        <v>344</v>
      </c>
      <c r="B21" s="212"/>
      <c r="C21" s="92">
        <v>0.056</v>
      </c>
      <c r="D21" s="92"/>
      <c r="E21" s="93" t="str">
        <f>'DEUDA DIRECTA'!E13</f>
        <v>TIIE + 1.86</v>
      </c>
      <c r="F21" s="94">
        <v>41709</v>
      </c>
      <c r="G21" s="94"/>
      <c r="H21" s="95">
        <f>'DEUDA DIRECTA'!H13</f>
        <v>45355</v>
      </c>
      <c r="I21" s="26">
        <f>'DEUDA DIRECTA'!I13</f>
        <v>11000000</v>
      </c>
      <c r="J21" s="247"/>
      <c r="K21" s="26">
        <f>'DEUDA DIRECTA'!K13</f>
        <v>850000000</v>
      </c>
      <c r="L21" s="361">
        <v>0.032</v>
      </c>
      <c r="M21" s="352">
        <v>33024376</v>
      </c>
      <c r="N21" s="26">
        <f>'DEUDA DIRECTA'!L13</f>
        <v>751656138.4599999</v>
      </c>
      <c r="O21" s="311">
        <f>'CREDITOS X PAGAR DIRECTA'!B15</f>
        <v>8195694.44</v>
      </c>
      <c r="P21" s="311">
        <f>'CREDITOS X PAGAR DIRECTA'!C15</f>
        <v>4087369.5</v>
      </c>
      <c r="Q21" s="63">
        <f>O21+P21</f>
        <v>12283063.940000001</v>
      </c>
      <c r="R21" s="1"/>
      <c r="S21" s="1"/>
      <c r="T21" s="1"/>
    </row>
    <row r="22" spans="1:20" s="7" customFormat="1" ht="12.75" customHeight="1">
      <c r="A22" s="245" t="s">
        <v>419</v>
      </c>
      <c r="B22" s="212"/>
      <c r="C22" s="92"/>
      <c r="D22" s="92"/>
      <c r="E22" s="93"/>
      <c r="F22" s="94"/>
      <c r="G22" s="94"/>
      <c r="H22" s="95"/>
      <c r="I22" s="28">
        <f>SUM(I20:I21)</f>
        <v>29400000</v>
      </c>
      <c r="J22" s="28">
        <f aca="true" t="shared" si="3" ref="J22:Q22">SUM(J20:J21)</f>
        <v>0</v>
      </c>
      <c r="K22" s="28">
        <f t="shared" si="3"/>
        <v>1850000000</v>
      </c>
      <c r="L22" s="28"/>
      <c r="M22" s="354"/>
      <c r="N22" s="28">
        <f t="shared" si="3"/>
        <v>1655113971.46</v>
      </c>
      <c r="O22" s="28">
        <f t="shared" si="3"/>
        <v>14181150.440000001</v>
      </c>
      <c r="P22" s="28">
        <f t="shared" si="3"/>
        <v>10101063.3</v>
      </c>
      <c r="Q22" s="28">
        <f t="shared" si="3"/>
        <v>24282213.740000002</v>
      </c>
      <c r="R22" s="1"/>
      <c r="S22" s="1"/>
      <c r="T22" s="1"/>
    </row>
    <row r="23" spans="1:20" s="7" customFormat="1" ht="12.75" customHeight="1">
      <c r="A23" s="245"/>
      <c r="B23" s="212"/>
      <c r="C23" s="92"/>
      <c r="D23" s="92"/>
      <c r="E23" s="93"/>
      <c r="F23" s="94"/>
      <c r="G23" s="94"/>
      <c r="H23" s="95"/>
      <c r="I23" s="26"/>
      <c r="J23" s="247"/>
      <c r="K23" s="26"/>
      <c r="L23" s="26"/>
      <c r="M23" s="352"/>
      <c r="N23" s="26"/>
      <c r="O23" s="249"/>
      <c r="P23" s="249"/>
      <c r="Q23" s="12"/>
      <c r="R23" s="1"/>
      <c r="S23" s="1"/>
      <c r="T23" s="1"/>
    </row>
    <row r="24" spans="1:20" s="7" customFormat="1" ht="12.75" customHeight="1">
      <c r="A24" s="290" t="s">
        <v>438</v>
      </c>
      <c r="B24" s="212"/>
      <c r="C24" s="92"/>
      <c r="D24" s="92"/>
      <c r="E24" s="266" t="str">
        <f>'DEUDA DIRECTA'!E19</f>
        <v>TIIE + 2.4</v>
      </c>
      <c r="F24" s="94"/>
      <c r="G24" s="94"/>
      <c r="H24" s="95">
        <f>'DEUDA DIRECTA'!H19</f>
        <v>49915</v>
      </c>
      <c r="I24" s="26">
        <f>'DEUDA DIRECTA'!I19</f>
        <v>8258551.21</v>
      </c>
      <c r="J24" s="247"/>
      <c r="K24" s="26">
        <f>'DEUDA DIRECTA'!K19</f>
        <v>1000000000</v>
      </c>
      <c r="L24" s="361">
        <v>0.027</v>
      </c>
      <c r="M24" s="357" t="s">
        <v>454</v>
      </c>
      <c r="N24" s="26">
        <f>'SALDOS  DIRECTA'!B23</f>
        <v>999386665.15</v>
      </c>
      <c r="O24" s="249">
        <f>'CREDITOS X PAGAR DIRECTA'!B24</f>
        <v>613334.85</v>
      </c>
      <c r="P24" s="249">
        <f>'CREDITOS X PAGAR DIRECTA'!C24</f>
        <v>1171250</v>
      </c>
      <c r="Q24" s="12">
        <f>O24+P24</f>
        <v>1784584.85</v>
      </c>
      <c r="R24" s="1"/>
      <c r="S24" s="1"/>
      <c r="T24" s="1"/>
    </row>
    <row r="25" spans="1:20" s="7" customFormat="1" ht="12.75" customHeight="1">
      <c r="A25" s="239" t="str">
        <f>'SALDOS  DIRECTA'!A25</f>
        <v>Santander 923 mdp 2014 LP</v>
      </c>
      <c r="B25" s="239" t="s">
        <v>62</v>
      </c>
      <c r="C25" s="92">
        <v>0.0245</v>
      </c>
      <c r="D25" s="92">
        <f>D33</f>
        <v>0</v>
      </c>
      <c r="E25" s="93" t="str">
        <f>'DEUDA DIRECTA'!E21</f>
        <v>TIIE + 0.75</v>
      </c>
      <c r="F25" s="94">
        <v>41816</v>
      </c>
      <c r="G25" s="94"/>
      <c r="H25" s="95">
        <f>'DEUDA DIRECTA'!H21</f>
        <v>49136</v>
      </c>
      <c r="I25" s="26">
        <f>'DEUDA DIRECTA'!I21</f>
        <v>38108958.73</v>
      </c>
      <c r="J25" s="247"/>
      <c r="K25" s="26">
        <f>'DEUDA DIRECTA'!K21</f>
        <v>923896013.78</v>
      </c>
      <c r="L25" s="361">
        <v>0.0245</v>
      </c>
      <c r="M25" s="357" t="s">
        <v>455</v>
      </c>
      <c r="N25" s="26">
        <f>'DEUDA DIRECTA'!L21</f>
        <v>907308114.8299999</v>
      </c>
      <c r="O25" s="311">
        <f>'CREDITOS X PAGAR DIRECTA'!B25</f>
        <v>748882.05</v>
      </c>
      <c r="P25" s="311">
        <f>'CREDITOS X PAGAR DIRECTA'!C25</f>
        <v>4310243.88</v>
      </c>
      <c r="Q25" s="63">
        <f>O25+P25</f>
        <v>5059125.93</v>
      </c>
      <c r="R25" s="1"/>
      <c r="S25" s="1"/>
      <c r="T25" s="1"/>
    </row>
    <row r="26" spans="1:20" s="7" customFormat="1" ht="12.75" customHeight="1">
      <c r="A26" s="77" t="s">
        <v>420</v>
      </c>
      <c r="B26" s="239"/>
      <c r="C26" s="92"/>
      <c r="D26" s="92"/>
      <c r="E26" s="93"/>
      <c r="F26" s="94"/>
      <c r="G26" s="94"/>
      <c r="H26" s="95"/>
      <c r="I26" s="28">
        <f>I24+I25</f>
        <v>46367509.94</v>
      </c>
      <c r="J26" s="28">
        <f>J25</f>
        <v>0</v>
      </c>
      <c r="K26" s="28">
        <f>K24+K25</f>
        <v>1923896013.78</v>
      </c>
      <c r="L26" s="28"/>
      <c r="M26" s="354"/>
      <c r="N26" s="28">
        <f>N24+N25</f>
        <v>1906694779.98</v>
      </c>
      <c r="O26" s="28">
        <f>O24+O25</f>
        <v>1362216.9</v>
      </c>
      <c r="P26" s="28">
        <f>P24+P25</f>
        <v>5481493.88</v>
      </c>
      <c r="Q26" s="28">
        <f>Q24+Q25</f>
        <v>6843710.779999999</v>
      </c>
      <c r="R26" s="1"/>
      <c r="S26" s="1"/>
      <c r="T26" s="1"/>
    </row>
    <row r="27" spans="1:20" s="7" customFormat="1" ht="12.75" customHeight="1">
      <c r="A27" s="77"/>
      <c r="B27" s="239"/>
      <c r="C27" s="92"/>
      <c r="D27" s="92"/>
      <c r="E27" s="93"/>
      <c r="F27" s="94"/>
      <c r="G27" s="94"/>
      <c r="H27" s="95"/>
      <c r="I27" s="26"/>
      <c r="J27" s="247"/>
      <c r="K27" s="26"/>
      <c r="L27" s="26"/>
      <c r="M27" s="352"/>
      <c r="N27" s="26"/>
      <c r="O27" s="249"/>
      <c r="P27" s="249"/>
      <c r="Q27" s="12"/>
      <c r="R27" s="1"/>
      <c r="S27" s="1"/>
      <c r="T27" s="1"/>
    </row>
    <row r="28" spans="1:20" ht="15.75" customHeight="1">
      <c r="A28" s="295" t="s">
        <v>52</v>
      </c>
      <c r="B28" s="241" t="e">
        <f>#REF!</f>
        <v>#REF!</v>
      </c>
      <c r="C28" s="240">
        <v>0.012</v>
      </c>
      <c r="D28" s="240" t="e">
        <f>#REF!</f>
        <v>#REF!</v>
      </c>
      <c r="E28" s="242" t="str">
        <f>'DEUDA DIRECTA'!E8</f>
        <v>TIIE+0.55</v>
      </c>
      <c r="F28" s="243" t="e">
        <f>#REF!</f>
        <v>#REF!</v>
      </c>
      <c r="G28" s="243">
        <v>40896</v>
      </c>
      <c r="H28" s="244">
        <f>'DEUDA DIRECTA'!H8</f>
        <v>46895</v>
      </c>
      <c r="I28" s="26">
        <f>'DEUDA DIRECTA'!I8</f>
        <v>9650000</v>
      </c>
      <c r="J28" s="247" t="s">
        <v>54</v>
      </c>
      <c r="K28" s="26">
        <f>'DEUDA DIRECTA'!K8</f>
        <v>450000000</v>
      </c>
      <c r="L28" s="361">
        <v>0.012</v>
      </c>
      <c r="M28" s="352">
        <v>2004</v>
      </c>
      <c r="N28" s="26">
        <f>'DEUDA DIRECTA'!L8</f>
        <v>331871537.28</v>
      </c>
      <c r="O28" s="311">
        <f>'CREDITOS X PAGAR DIRECTA'!B7</f>
        <v>1393612.91</v>
      </c>
      <c r="P28" s="311">
        <f>'CREDITOS X PAGAR DIRECTA'!C7</f>
        <v>1476675.66</v>
      </c>
      <c r="Q28" s="63">
        <f>O28+P28</f>
        <v>2870288.57</v>
      </c>
      <c r="R28" s="7"/>
      <c r="S28" s="7"/>
      <c r="T28" s="7"/>
    </row>
    <row r="29" spans="1:20" ht="15.75" customHeight="1">
      <c r="A29" s="312" t="s">
        <v>11</v>
      </c>
      <c r="B29" s="241" t="e">
        <f>#REF!</f>
        <v>#REF!</v>
      </c>
      <c r="C29" s="240">
        <v>0.009</v>
      </c>
      <c r="D29" s="240" t="e">
        <f>#REF!</f>
        <v>#REF!</v>
      </c>
      <c r="E29" s="242" t="str">
        <f>'DEUDA DIRECTA'!E9</f>
        <v>TIIE+0.48</v>
      </c>
      <c r="F29" s="243">
        <v>38785</v>
      </c>
      <c r="G29" s="243" t="e">
        <f>#REF!</f>
        <v>#REF!</v>
      </c>
      <c r="H29" s="244">
        <f>'DEUDA DIRECTA'!H9</f>
        <v>46895</v>
      </c>
      <c r="I29" s="26">
        <f>'DEUDA DIRECTA'!I9</f>
        <v>7350000</v>
      </c>
      <c r="J29" s="247" t="e">
        <f>#REF!</f>
        <v>#REF!</v>
      </c>
      <c r="K29" s="26">
        <f>'DEUDA DIRECTA'!K9</f>
        <v>300000000</v>
      </c>
      <c r="L29" s="361">
        <v>0.009</v>
      </c>
      <c r="M29" s="352">
        <v>2006</v>
      </c>
      <c r="N29" s="26">
        <f>'DEUDA DIRECTA'!L9</f>
        <v>247393302.3</v>
      </c>
      <c r="O29" s="311">
        <f>'CREDITOS X PAGAR DIRECTA'!B8</f>
        <v>1043794.01</v>
      </c>
      <c r="P29" s="311">
        <f>'CREDITOS X PAGAR DIRECTA'!C8</f>
        <v>1085704.21</v>
      </c>
      <c r="Q29" s="63">
        <f>O29+P29</f>
        <v>2129498.2199999997</v>
      </c>
      <c r="R29" s="7"/>
      <c r="S29" s="7"/>
      <c r="T29" s="7"/>
    </row>
    <row r="30" spans="1:20" ht="15.75" customHeight="1">
      <c r="A30" s="246" t="s">
        <v>421</v>
      </c>
      <c r="B30" s="241"/>
      <c r="C30" s="240"/>
      <c r="D30" s="240"/>
      <c r="E30" s="242"/>
      <c r="F30" s="243"/>
      <c r="G30" s="243"/>
      <c r="H30" s="244"/>
      <c r="I30" s="28">
        <f>SUM(I28:I29)</f>
        <v>17000000</v>
      </c>
      <c r="J30" s="28" t="e">
        <f aca="true" t="shared" si="4" ref="J30:Q30">SUM(J28:J29)</f>
        <v>#REF!</v>
      </c>
      <c r="K30" s="28">
        <f t="shared" si="4"/>
        <v>750000000</v>
      </c>
      <c r="L30" s="28"/>
      <c r="M30" s="354"/>
      <c r="N30" s="28">
        <f t="shared" si="4"/>
        <v>579264839.5799999</v>
      </c>
      <c r="O30" s="28">
        <f t="shared" si="4"/>
        <v>2437406.92</v>
      </c>
      <c r="P30" s="28">
        <f t="shared" si="4"/>
        <v>2562379.87</v>
      </c>
      <c r="Q30" s="28">
        <f t="shared" si="4"/>
        <v>4999786.789999999</v>
      </c>
      <c r="R30" s="7"/>
      <c r="S30" s="7"/>
      <c r="T30" s="7"/>
    </row>
    <row r="31" spans="1:20" ht="15.75" customHeight="1">
      <c r="A31" s="246"/>
      <c r="B31" s="241"/>
      <c r="C31" s="240"/>
      <c r="D31" s="240"/>
      <c r="E31" s="242"/>
      <c r="F31" s="243"/>
      <c r="G31" s="243"/>
      <c r="H31" s="244"/>
      <c r="I31" s="26"/>
      <c r="J31" s="247"/>
      <c r="K31" s="26"/>
      <c r="L31" s="26"/>
      <c r="M31" s="352"/>
      <c r="N31" s="26"/>
      <c r="O31" s="249"/>
      <c r="P31" s="249"/>
      <c r="Q31" s="12"/>
      <c r="R31" s="7"/>
      <c r="S31" s="7"/>
      <c r="T31" s="7"/>
    </row>
    <row r="32" spans="1:18" s="125" customFormat="1" ht="12.75">
      <c r="A32" s="76" t="s">
        <v>69</v>
      </c>
      <c r="B32" s="98"/>
      <c r="C32" s="99">
        <f>SUM(C6:C29)</f>
        <v>0.36060000000000003</v>
      </c>
      <c r="D32" s="99"/>
      <c r="E32" s="257"/>
      <c r="F32" s="258"/>
      <c r="G32" s="258"/>
      <c r="H32" s="259"/>
      <c r="I32" s="28">
        <f>I9+I18+I22+I26+I30</f>
        <v>298138138.31</v>
      </c>
      <c r="J32" s="28" t="e">
        <f aca="true" t="shared" si="5" ref="J32:Q32">J9+J18+J22+J26+J30</f>
        <v>#REF!</v>
      </c>
      <c r="K32" s="28">
        <f t="shared" si="5"/>
        <v>15443098696.53</v>
      </c>
      <c r="L32" s="28"/>
      <c r="M32" s="354"/>
      <c r="N32" s="28">
        <f t="shared" si="5"/>
        <v>14673763333.289782</v>
      </c>
      <c r="O32" s="28">
        <f t="shared" si="5"/>
        <v>33929306.13</v>
      </c>
      <c r="P32" s="28">
        <f t="shared" si="5"/>
        <v>61994125.230000004</v>
      </c>
      <c r="Q32" s="28">
        <f t="shared" si="5"/>
        <v>95923431.35999998</v>
      </c>
      <c r="R32" s="260"/>
    </row>
    <row r="33" spans="9:17" ht="12.75">
      <c r="I33" s="12"/>
      <c r="J33" s="250"/>
      <c r="K33" s="12"/>
      <c r="L33" s="12"/>
      <c r="M33" s="355"/>
      <c r="N33" s="12"/>
      <c r="O33" s="12"/>
      <c r="P33" s="12"/>
      <c r="Q33" s="12"/>
    </row>
    <row r="34" spans="1:19" ht="12.75">
      <c r="A34" s="88" t="s">
        <v>70</v>
      </c>
      <c r="B34" s="88"/>
      <c r="C34" s="89"/>
      <c r="D34" s="89"/>
      <c r="E34" s="93"/>
      <c r="F34" s="94"/>
      <c r="G34" s="94"/>
      <c r="H34" s="95"/>
      <c r="I34" s="28"/>
      <c r="J34" s="251"/>
      <c r="K34" s="28"/>
      <c r="L34" s="28"/>
      <c r="M34" s="354"/>
      <c r="N34" s="28"/>
      <c r="O34" s="63"/>
      <c r="P34" s="63"/>
      <c r="Q34" s="12"/>
      <c r="S34" s="213"/>
    </row>
    <row r="35" spans="1:19" s="127" customFormat="1" ht="12.75">
      <c r="A35" s="265" t="str">
        <f>'DEUDA DIRECTA'!A26</f>
        <v>INTERACCIONES no. 430787 2016 855 mdp</v>
      </c>
      <c r="B35" s="267"/>
      <c r="C35" s="92"/>
      <c r="D35" s="92"/>
      <c r="E35" s="266" t="str">
        <f>'DEUDA DIRECTA'!E26</f>
        <v>TIIE+ 1.90</v>
      </c>
      <c r="F35" s="268"/>
      <c r="G35" s="268"/>
      <c r="H35" s="269" t="str">
        <f>'DEUDA DIRECTA'!H26</f>
        <v>30-dec-2017</v>
      </c>
      <c r="I35" s="26">
        <f>'DEUDA DIRECTA'!I26</f>
        <v>0</v>
      </c>
      <c r="J35" s="247"/>
      <c r="K35" s="26">
        <f>'DEUDA DIRECTA'!K26</f>
        <v>855970029</v>
      </c>
      <c r="L35" s="362" t="s">
        <v>453</v>
      </c>
      <c r="M35" s="352">
        <v>330025611</v>
      </c>
      <c r="N35" s="26">
        <f>'DEUDA DIRECTA'!L26</f>
        <v>855970029</v>
      </c>
      <c r="O35" s="26">
        <f>'CREDITOS X PAGAR DIRECTA'!B13</f>
        <v>0</v>
      </c>
      <c r="P35" s="26">
        <f>'CREDITOS X PAGAR DIRECTA'!C13</f>
        <v>4632937.8</v>
      </c>
      <c r="Q35" s="63">
        <f>O35+P35</f>
        <v>4632937.8</v>
      </c>
      <c r="S35" s="270"/>
    </row>
    <row r="36" spans="1:17" ht="12.75">
      <c r="A36" s="265" t="str">
        <f>'DEUDA DIRECTA'!A27</f>
        <v>INTERACCIONES CC NO. 427825 736 MDP</v>
      </c>
      <c r="B36" s="88"/>
      <c r="C36" s="89"/>
      <c r="D36" s="89"/>
      <c r="E36" s="266" t="str">
        <f>'DEUDA DIRECTA'!E27</f>
        <v>TIIE+1.90</v>
      </c>
      <c r="F36" s="94"/>
      <c r="G36" s="94"/>
      <c r="H36" s="95" t="str">
        <f>'DEUDA DIRECTA'!H27</f>
        <v>15-dec-2016</v>
      </c>
      <c r="I36" s="26">
        <v>0</v>
      </c>
      <c r="J36" s="251"/>
      <c r="K36" s="26">
        <f>'DEUDA DIRECTA'!K27</f>
        <v>736728512</v>
      </c>
      <c r="L36" s="362" t="s">
        <v>453</v>
      </c>
      <c r="M36" s="352">
        <v>330025362</v>
      </c>
      <c r="N36" s="26">
        <f>'DEUDA DIRECTA'!L27</f>
        <v>184182127.97000003</v>
      </c>
      <c r="O36" s="26">
        <f>'CREDITOS X PAGAR DIRECTA'!B14</f>
        <v>61394042.67</v>
      </c>
      <c r="P36" s="26">
        <f>'CREDITOS X PAGAR DIRECTA'!C14</f>
        <v>1329180.9</v>
      </c>
      <c r="Q36" s="26">
        <f>O36+P36</f>
        <v>62723223.57</v>
      </c>
    </row>
    <row r="37" spans="1:17" ht="12.75">
      <c r="A37" s="76" t="s">
        <v>424</v>
      </c>
      <c r="B37" s="98"/>
      <c r="C37" s="99" t="e">
        <f>SUM(#REF!)</f>
        <v>#REF!</v>
      </c>
      <c r="D37" s="99"/>
      <c r="E37" s="93"/>
      <c r="F37" s="94"/>
      <c r="G37" s="94"/>
      <c r="H37" s="95"/>
      <c r="I37" s="28">
        <f>I36+I35</f>
        <v>0</v>
      </c>
      <c r="J37" s="28">
        <f>J36+J35</f>
        <v>0</v>
      </c>
      <c r="K37" s="28">
        <f>SUM(K35:K36)</f>
        <v>1592698541</v>
      </c>
      <c r="L37" s="28"/>
      <c r="M37" s="28"/>
      <c r="N37" s="28">
        <f>SUM(N35:N36)</f>
        <v>1040152156.97</v>
      </c>
      <c r="O37" s="28">
        <f>SUM(O35:O36)</f>
        <v>61394042.67</v>
      </c>
      <c r="P37" s="28">
        <f>SUM(P35:P36)</f>
        <v>5962118.699999999</v>
      </c>
      <c r="Q37" s="28">
        <f>SUM(Q35:Q36)</f>
        <v>67356161.37</v>
      </c>
    </row>
    <row r="38" spans="1:17" ht="12.75">
      <c r="A38" s="76"/>
      <c r="B38" s="98"/>
      <c r="C38" s="99"/>
      <c r="D38" s="99"/>
      <c r="E38" s="93"/>
      <c r="F38" s="94"/>
      <c r="G38" s="94"/>
      <c r="H38" s="95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65" t="str">
        <f>'DEUDA DIRECTA'!A25</f>
        <v>BANORTE QUIROGRAFARIO 500 MDP</v>
      </c>
      <c r="B39" s="88"/>
      <c r="C39" s="89"/>
      <c r="D39" s="89"/>
      <c r="E39" s="266" t="str">
        <f>'DEUDA DIRECTA'!E25</f>
        <v>TIIE+1.25</v>
      </c>
      <c r="F39" s="94"/>
      <c r="G39" s="94"/>
      <c r="H39" s="95">
        <f>'DEUDA DIRECTA'!H25</f>
        <v>42598</v>
      </c>
      <c r="I39" s="26">
        <f>'DEUDA DIRECTA'!I25</f>
        <v>0</v>
      </c>
      <c r="J39" s="251"/>
      <c r="K39" s="26">
        <f>'DEUDA DIRECTA'!K25</f>
        <v>500000000</v>
      </c>
      <c r="L39" s="26"/>
      <c r="M39" s="26"/>
      <c r="N39" s="26">
        <f>'DEUDA DIRECTA'!L25</f>
        <v>0</v>
      </c>
      <c r="O39" s="26">
        <f>'CREDITOS X PAGAR DIRECTA'!B9</f>
        <v>0</v>
      </c>
      <c r="P39" s="26">
        <f>'CREDITOS X PAGAR DIRECTA'!C9</f>
        <v>0</v>
      </c>
      <c r="Q39" s="26">
        <f>O39+P39</f>
        <v>0</v>
      </c>
    </row>
    <row r="40" spans="1:17" ht="12.75">
      <c r="A40" s="78" t="s">
        <v>425</v>
      </c>
      <c r="I40" s="141"/>
      <c r="K40" s="182">
        <f>K39</f>
        <v>500000000</v>
      </c>
      <c r="L40" s="182"/>
      <c r="M40" s="182"/>
      <c r="N40" s="182">
        <f>N39</f>
        <v>0</v>
      </c>
      <c r="O40" s="141">
        <f>O39</f>
        <v>0</v>
      </c>
      <c r="P40" s="141">
        <f>P39</f>
        <v>0</v>
      </c>
      <c r="Q40" s="141">
        <f>Q39</f>
        <v>0</v>
      </c>
    </row>
    <row r="41" spans="1:17" ht="12.75">
      <c r="A41" s="76" t="s">
        <v>71</v>
      </c>
      <c r="B41" s="98"/>
      <c r="C41" s="99"/>
      <c r="D41" s="99"/>
      <c r="E41" s="93"/>
      <c r="F41" s="94"/>
      <c r="G41" s="94"/>
      <c r="H41" s="95"/>
      <c r="I41" s="28"/>
      <c r="J41" s="251"/>
      <c r="K41" s="28">
        <f>K40+K37</f>
        <v>2092698541</v>
      </c>
      <c r="L41" s="28"/>
      <c r="M41" s="28"/>
      <c r="N41" s="28">
        <f>N40+N37</f>
        <v>1040152156.97</v>
      </c>
      <c r="O41" s="28">
        <f>O40+O37</f>
        <v>61394042.67</v>
      </c>
      <c r="P41" s="28">
        <f>P40+P37</f>
        <v>5962118.699999999</v>
      </c>
      <c r="Q41" s="28">
        <f>Q40+Q37</f>
        <v>67356161.37</v>
      </c>
    </row>
    <row r="42" spans="1:17" ht="12.75">
      <c r="A42" s="66"/>
      <c r="B42" s="66"/>
      <c r="C42" s="92"/>
      <c r="D42" s="92"/>
      <c r="E42" s="93"/>
      <c r="F42" s="94"/>
      <c r="G42" s="94"/>
      <c r="H42" s="95"/>
      <c r="I42" s="28"/>
      <c r="J42" s="251"/>
      <c r="K42" s="28"/>
      <c r="L42" s="28"/>
      <c r="M42" s="28"/>
      <c r="N42" s="26"/>
      <c r="O42" s="12"/>
      <c r="P42" s="12"/>
      <c r="Q42" s="12"/>
    </row>
    <row r="43" spans="1:17" ht="12.75">
      <c r="A43" s="76" t="s">
        <v>28</v>
      </c>
      <c r="B43" s="76"/>
      <c r="C43" s="99"/>
      <c r="D43" s="99"/>
      <c r="E43" s="93" t="s">
        <v>72</v>
      </c>
      <c r="F43" s="94"/>
      <c r="G43" s="94"/>
      <c r="H43" s="95"/>
      <c r="I43" s="28">
        <f>I32+I41</f>
        <v>298138138.31</v>
      </c>
      <c r="J43" s="28" t="e">
        <f>J32+J41</f>
        <v>#REF!</v>
      </c>
      <c r="K43" s="28">
        <f>K32+K41</f>
        <v>17535797237.53</v>
      </c>
      <c r="L43" s="28"/>
      <c r="M43" s="28"/>
      <c r="N43" s="28">
        <f>N32+N41</f>
        <v>15713915490.25978</v>
      </c>
      <c r="O43" s="28">
        <f>O32+O41</f>
        <v>95323348.80000001</v>
      </c>
      <c r="P43" s="28">
        <f>P32+P41</f>
        <v>67956243.93</v>
      </c>
      <c r="Q43" s="28">
        <f>Q32+Q41</f>
        <v>163279592.73</v>
      </c>
    </row>
    <row r="44" spans="1:17" ht="12.75">
      <c r="A44" s="76"/>
      <c r="B44" s="76"/>
      <c r="C44" s="99"/>
      <c r="D44" s="99"/>
      <c r="E44" s="93"/>
      <c r="F44" s="94"/>
      <c r="G44" s="94"/>
      <c r="H44" s="95"/>
      <c r="I44" s="26"/>
      <c r="J44" s="247"/>
      <c r="K44" s="26"/>
      <c r="L44" s="26"/>
      <c r="M44" s="26"/>
      <c r="N44" s="26"/>
      <c r="O44" s="12"/>
      <c r="P44" s="12"/>
      <c r="Q44" s="12"/>
    </row>
    <row r="45" spans="1:17" ht="15">
      <c r="A45" s="102" t="s">
        <v>29</v>
      </c>
      <c r="B45" s="102"/>
      <c r="C45" s="103"/>
      <c r="D45" s="103"/>
      <c r="E45" s="72"/>
      <c r="F45" s="90"/>
      <c r="G45" s="90"/>
      <c r="H45" s="95"/>
      <c r="I45" s="26"/>
      <c r="J45" s="247"/>
      <c r="K45" s="26"/>
      <c r="L45" s="26"/>
      <c r="M45" s="26"/>
      <c r="N45" s="26"/>
      <c r="O45" s="12"/>
      <c r="P45" s="12"/>
      <c r="Q45" s="12"/>
    </row>
    <row r="46" spans="1:17" ht="12.75">
      <c r="A46" s="88" t="s">
        <v>45</v>
      </c>
      <c r="B46" s="88"/>
      <c r="C46" s="89"/>
      <c r="D46" s="89"/>
      <c r="E46" s="72"/>
      <c r="F46" s="90"/>
      <c r="G46" s="90"/>
      <c r="H46" s="95"/>
      <c r="I46" s="26"/>
      <c r="J46" s="247"/>
      <c r="K46" s="26"/>
      <c r="L46" s="26"/>
      <c r="M46" s="26"/>
      <c r="N46" s="26"/>
      <c r="O46" s="12"/>
      <c r="P46" s="12"/>
      <c r="Q46" s="12"/>
    </row>
    <row r="47" spans="1:17" ht="12.75">
      <c r="A47" s="74" t="str">
        <f>'SALDOS  DIRECTA'!A30</f>
        <v>BANOBRAS 2,040 MDP 2014 Registro 002</v>
      </c>
      <c r="B47" s="74" t="e">
        <f>#REF!</f>
        <v>#REF!</v>
      </c>
      <c r="C47" s="97">
        <v>0.065</v>
      </c>
      <c r="D47" s="97" t="s">
        <v>73</v>
      </c>
      <c r="E47" s="5" t="str">
        <f>'DEUDA DIRECTA'!E34</f>
        <v>TIIE + 0.75</v>
      </c>
      <c r="F47" s="104">
        <v>41806</v>
      </c>
      <c r="G47" s="104"/>
      <c r="H47" s="95">
        <f>'DEUDA DIRECTA'!H34</f>
        <v>49111</v>
      </c>
      <c r="I47" s="164">
        <f>'DEUDA DIRECTA'!I34</f>
        <v>27952948.64</v>
      </c>
      <c r="J47" s="252"/>
      <c r="K47" s="164">
        <f>'DEUDA DIRECTA'!K34</f>
        <v>2030295512.69</v>
      </c>
      <c r="L47" s="363">
        <v>0.065</v>
      </c>
      <c r="M47" s="346">
        <v>11528</v>
      </c>
      <c r="N47" s="164">
        <f>'DEUDA DIRECTA'!L34</f>
        <v>1994383373.33</v>
      </c>
      <c r="O47" s="63">
        <f>'CREDITOS X PAGAR DIRECTA'!B21</f>
        <v>1669431.86</v>
      </c>
      <c r="P47" s="63">
        <f>'CREDITOS X PAGAR DIRECTA'!C21</f>
        <v>9483468.66</v>
      </c>
      <c r="Q47" s="63">
        <f>O47+P47</f>
        <v>11152900.52</v>
      </c>
    </row>
    <row r="48" spans="1:17" ht="12.75">
      <c r="A48" s="74" t="s">
        <v>74</v>
      </c>
      <c r="B48" s="74" t="e">
        <f>#REF!</f>
        <v>#REF!</v>
      </c>
      <c r="C48" s="97">
        <v>0.058</v>
      </c>
      <c r="D48" s="97" t="s">
        <v>73</v>
      </c>
      <c r="E48" s="5" t="str">
        <f>'DEUDA DIRECTA'!E35</f>
        <v>TIIE + 0.75</v>
      </c>
      <c r="F48" s="104">
        <v>41795</v>
      </c>
      <c r="G48" s="104"/>
      <c r="H48" s="95">
        <f>'DEUDA DIRECTA'!H35</f>
        <v>49111</v>
      </c>
      <c r="I48" s="164">
        <f>'DEUDA DIRECTA'!I35</f>
        <v>23409120.2</v>
      </c>
      <c r="J48" s="252"/>
      <c r="K48" s="164">
        <f>'DEUDA DIRECTA'!K35</f>
        <v>1703567971.46</v>
      </c>
      <c r="L48" s="363">
        <v>0.058</v>
      </c>
      <c r="M48" s="346">
        <v>11522</v>
      </c>
      <c r="N48" s="164">
        <f>'DEUDA DIRECTA'!L35</f>
        <v>1671582388.48</v>
      </c>
      <c r="O48" s="63">
        <f>'CREDITOS X PAGAR DIRECTA'!B22</f>
        <v>1399225.91</v>
      </c>
      <c r="P48" s="63">
        <f>'CREDITOS X PAGAR DIRECTA'!C22</f>
        <v>7948521.54</v>
      </c>
      <c r="Q48" s="63">
        <f>O48+P48</f>
        <v>9347747.45</v>
      </c>
    </row>
    <row r="49" spans="1:17" ht="12.75">
      <c r="A49" s="50" t="s">
        <v>31</v>
      </c>
      <c r="B49" s="50"/>
      <c r="C49" s="106">
        <f>SUM(C47:C48)</f>
        <v>0.123</v>
      </c>
      <c r="D49" s="106"/>
      <c r="E49" s="5"/>
      <c r="F49" s="86"/>
      <c r="G49" s="86"/>
      <c r="H49" s="107"/>
      <c r="I49" s="253">
        <f>SUM(I47:I48)</f>
        <v>51362068.84</v>
      </c>
      <c r="J49" s="253">
        <f aca="true" t="shared" si="6" ref="J49:Q49">SUM(J47:J48)</f>
        <v>0</v>
      </c>
      <c r="K49" s="253">
        <f t="shared" si="6"/>
        <v>3733863484.15</v>
      </c>
      <c r="L49" s="253"/>
      <c r="M49" s="253"/>
      <c r="N49" s="253">
        <f t="shared" si="6"/>
        <v>3665965761.81</v>
      </c>
      <c r="O49" s="253">
        <f t="shared" si="6"/>
        <v>3068657.77</v>
      </c>
      <c r="P49" s="253">
        <f t="shared" si="6"/>
        <v>17431990.2</v>
      </c>
      <c r="Q49" s="253">
        <f t="shared" si="6"/>
        <v>20500647.97</v>
      </c>
    </row>
    <row r="50" spans="1:17" ht="12.75">
      <c r="A50" s="5"/>
      <c r="B50" s="5"/>
      <c r="E50" s="5"/>
      <c r="F50" s="86"/>
      <c r="G50" s="86"/>
      <c r="H50" s="107"/>
      <c r="I50" s="164"/>
      <c r="J50" s="252"/>
      <c r="K50" s="164"/>
      <c r="L50" s="164"/>
      <c r="M50" s="164"/>
      <c r="N50" s="164"/>
      <c r="O50" s="12"/>
      <c r="P50" s="12"/>
      <c r="Q50" s="12"/>
    </row>
    <row r="51" spans="2:17" s="23" customFormat="1" ht="15">
      <c r="B51" s="261"/>
      <c r="C51" s="262" t="e">
        <f>C32+C37+C49</f>
        <v>#REF!</v>
      </c>
      <c r="D51" s="262"/>
      <c r="F51" s="263"/>
      <c r="G51" s="263"/>
      <c r="H51" s="261" t="s">
        <v>19</v>
      </c>
      <c r="I51" s="264">
        <f>I49+I43</f>
        <v>349500207.15</v>
      </c>
      <c r="J51" s="264" t="e">
        <f aca="true" t="shared" si="7" ref="J51:Q51">J49+J43</f>
        <v>#REF!</v>
      </c>
      <c r="K51" s="264">
        <f t="shared" si="7"/>
        <v>21269660721.68</v>
      </c>
      <c r="L51" s="264"/>
      <c r="M51" s="264"/>
      <c r="N51" s="264">
        <f t="shared" si="7"/>
        <v>19379881252.069782</v>
      </c>
      <c r="O51" s="264">
        <f t="shared" si="7"/>
        <v>98392006.57000001</v>
      </c>
      <c r="P51" s="264">
        <f t="shared" si="7"/>
        <v>85388234.13000001</v>
      </c>
      <c r="Q51" s="264">
        <f t="shared" si="7"/>
        <v>183780240.7</v>
      </c>
    </row>
    <row r="52" spans="2:17" ht="12.75">
      <c r="B52" s="5"/>
      <c r="C52" s="97">
        <f>5.95%+4.6%</f>
        <v>0.10550000000000001</v>
      </c>
      <c r="E52" s="5"/>
      <c r="F52" s="86"/>
      <c r="G52" s="86"/>
      <c r="H52" s="78"/>
      <c r="I52" s="157"/>
      <c r="J52" s="252"/>
      <c r="K52" s="157"/>
      <c r="L52" s="157"/>
      <c r="M52" s="157"/>
      <c r="N52" s="157"/>
      <c r="O52" s="12"/>
      <c r="P52" s="12"/>
      <c r="Q52" s="12"/>
    </row>
    <row r="53" spans="2:20" ht="12.75">
      <c r="B53" s="5"/>
      <c r="C53" s="97" t="e">
        <f>C51+C52</f>
        <v>#REF!</v>
      </c>
      <c r="E53" s="5"/>
      <c r="F53" s="86"/>
      <c r="G53" s="86"/>
      <c r="H53" s="78" t="s">
        <v>422</v>
      </c>
      <c r="I53" s="157"/>
      <c r="J53" s="252"/>
      <c r="K53" s="157"/>
      <c r="L53" s="157"/>
      <c r="M53" s="157"/>
      <c r="N53" s="254"/>
      <c r="O53" s="153"/>
      <c r="P53" s="63"/>
      <c r="Q53" s="63"/>
      <c r="R53" s="5"/>
      <c r="S53" s="5"/>
      <c r="T53" s="5"/>
    </row>
    <row r="54" spans="2:20" ht="12.75">
      <c r="B54" s="5"/>
      <c r="E54" s="5"/>
      <c r="F54" s="86"/>
      <c r="G54" s="86"/>
      <c r="H54" s="78" t="s">
        <v>45</v>
      </c>
      <c r="I54" s="157">
        <f>I22</f>
        <v>29400000</v>
      </c>
      <c r="J54" s="252"/>
      <c r="K54" s="157">
        <f>K22</f>
        <v>1850000000</v>
      </c>
      <c r="L54" s="157"/>
      <c r="M54" s="157"/>
      <c r="N54" s="153">
        <f>N22</f>
        <v>1655113971.46</v>
      </c>
      <c r="O54" s="153">
        <f>O22</f>
        <v>14181150.440000001</v>
      </c>
      <c r="P54" s="63">
        <f>P22</f>
        <v>10101063.3</v>
      </c>
      <c r="Q54" s="63">
        <f>Q22</f>
        <v>24282213.740000002</v>
      </c>
      <c r="R54" s="5"/>
      <c r="S54" s="5"/>
      <c r="T54" s="5"/>
    </row>
    <row r="55" spans="8:17" ht="12.75">
      <c r="H55" s="78" t="s">
        <v>70</v>
      </c>
      <c r="I55" s="12">
        <f>I37</f>
        <v>0</v>
      </c>
      <c r="J55" s="250"/>
      <c r="K55" s="31">
        <f>K37</f>
        <v>1592698541</v>
      </c>
      <c r="L55" s="31"/>
      <c r="M55" s="31"/>
      <c r="N55" s="31">
        <f>N37</f>
        <v>1040152156.97</v>
      </c>
      <c r="O55" s="31">
        <f>O37</f>
        <v>61394042.67</v>
      </c>
      <c r="P55" s="12">
        <f>P37</f>
        <v>5962118.699999999</v>
      </c>
      <c r="Q55" s="12">
        <f>Q37</f>
        <v>67356161.37</v>
      </c>
    </row>
    <row r="56" spans="8:17" ht="12.75">
      <c r="H56" s="78" t="s">
        <v>280</v>
      </c>
      <c r="I56" s="174">
        <f aca="true" t="shared" si="8" ref="I56:Q56">SUM(I54:I55)</f>
        <v>29400000</v>
      </c>
      <c r="J56" s="174">
        <f t="shared" si="8"/>
        <v>0</v>
      </c>
      <c r="K56" s="174">
        <f t="shared" si="8"/>
        <v>3442698541</v>
      </c>
      <c r="L56" s="174"/>
      <c r="M56" s="174"/>
      <c r="N56" s="174">
        <f t="shared" si="8"/>
        <v>2695266128.4300003</v>
      </c>
      <c r="O56" s="174">
        <f t="shared" si="8"/>
        <v>75575193.11</v>
      </c>
      <c r="P56" s="174">
        <f t="shared" si="8"/>
        <v>16063182</v>
      </c>
      <c r="Q56" s="174">
        <f t="shared" si="8"/>
        <v>91638375.11000001</v>
      </c>
    </row>
    <row r="57" spans="11:15" ht="12.75">
      <c r="K57" s="237"/>
      <c r="L57" s="237"/>
      <c r="M57" s="237"/>
      <c r="N57" s="215"/>
      <c r="O57" s="14"/>
    </row>
    <row r="58" spans="8:15" ht="12.75">
      <c r="H58" s="78" t="s">
        <v>423</v>
      </c>
      <c r="K58" s="212">
        <f>K56+K59</f>
        <v>10011698541</v>
      </c>
      <c r="L58" s="212"/>
      <c r="M58" s="212"/>
      <c r="N58" s="214"/>
      <c r="O58" s="14"/>
    </row>
    <row r="59" spans="8:17" ht="12.75">
      <c r="H59" s="78" t="s">
        <v>45</v>
      </c>
      <c r="I59" s="141">
        <f>I9</f>
        <v>113910565.15</v>
      </c>
      <c r="K59" s="67">
        <f>K9</f>
        <v>6569000000</v>
      </c>
      <c r="L59" s="67"/>
      <c r="M59" s="67"/>
      <c r="N59" s="214">
        <f>N9</f>
        <v>6874623387.429782</v>
      </c>
      <c r="O59" s="255">
        <f>O9</f>
        <v>5068953.98</v>
      </c>
      <c r="P59" s="141">
        <f>P9</f>
        <v>26675847.99</v>
      </c>
      <c r="Q59" s="141">
        <f>Q9</f>
        <v>31744801.97</v>
      </c>
    </row>
    <row r="60" spans="8:17" ht="12.75">
      <c r="H60" s="78" t="s">
        <v>70</v>
      </c>
      <c r="I60" s="141">
        <f>I39</f>
        <v>0</v>
      </c>
      <c r="K60" s="67">
        <f>K39</f>
        <v>500000000</v>
      </c>
      <c r="L60" s="67"/>
      <c r="M60" s="67"/>
      <c r="N60" s="214">
        <f>N39</f>
        <v>0</v>
      </c>
      <c r="O60" s="255">
        <f>O39</f>
        <v>0</v>
      </c>
      <c r="P60" s="141">
        <f>P39</f>
        <v>0</v>
      </c>
      <c r="Q60" s="141">
        <f>Q39</f>
        <v>0</v>
      </c>
    </row>
    <row r="61" spans="8:17" ht="12.75">
      <c r="H61" s="78" t="s">
        <v>280</v>
      </c>
      <c r="I61" s="182">
        <f>SUM(I59:I60)</f>
        <v>113910565.15</v>
      </c>
      <c r="J61" s="182">
        <f aca="true" t="shared" si="9" ref="J61:Q61">SUM(J59:J60)</f>
        <v>0</v>
      </c>
      <c r="K61" s="182">
        <f t="shared" si="9"/>
        <v>7069000000</v>
      </c>
      <c r="L61" s="182"/>
      <c r="M61" s="182"/>
      <c r="N61" s="182">
        <f t="shared" si="9"/>
        <v>6874623387.429782</v>
      </c>
      <c r="O61" s="182">
        <f t="shared" si="9"/>
        <v>5068953.98</v>
      </c>
      <c r="P61" s="182">
        <f t="shared" si="9"/>
        <v>26675847.99</v>
      </c>
      <c r="Q61" s="182">
        <f t="shared" si="9"/>
        <v>31744801.97</v>
      </c>
    </row>
    <row r="62" spans="1:15" ht="15">
      <c r="A62" s="116"/>
      <c r="K62" s="216"/>
      <c r="L62" s="216"/>
      <c r="M62" s="216"/>
      <c r="N62" s="217"/>
      <c r="O62" s="14"/>
    </row>
    <row r="63" spans="1:15" ht="15">
      <c r="A63" s="116"/>
      <c r="K63" s="216"/>
      <c r="L63" s="216"/>
      <c r="M63" s="216"/>
      <c r="N63" s="217"/>
      <c r="O63" s="14"/>
    </row>
    <row r="64" spans="1:15" ht="15">
      <c r="A64" s="391" t="s">
        <v>456</v>
      </c>
      <c r="K64" s="216"/>
      <c r="L64" s="216"/>
      <c r="M64" s="216"/>
      <c r="N64" s="217"/>
      <c r="O64" s="14"/>
    </row>
    <row r="65" spans="1:15" ht="15">
      <c r="A65" s="392"/>
      <c r="K65" s="216"/>
      <c r="L65" s="216"/>
      <c r="M65" s="216"/>
      <c r="N65" s="217"/>
      <c r="O65" s="14"/>
    </row>
    <row r="66" spans="1:15" ht="12.75">
      <c r="A66" s="1" t="s">
        <v>458</v>
      </c>
      <c r="K66" s="14"/>
      <c r="L66" s="14"/>
      <c r="M66" s="14"/>
      <c r="N66" s="14"/>
      <c r="O66" s="14"/>
    </row>
    <row r="67" spans="1:15" ht="12.75">
      <c r="A67" s="1" t="s">
        <v>459</v>
      </c>
      <c r="K67" s="218"/>
      <c r="L67" s="218"/>
      <c r="M67" s="218"/>
      <c r="N67" s="214"/>
      <c r="O67" s="214"/>
    </row>
    <row r="68" spans="1:16" ht="12.75">
      <c r="A68" s="12" t="s">
        <v>460</v>
      </c>
      <c r="K68" s="14"/>
      <c r="L68" s="14"/>
      <c r="M68" s="14"/>
      <c r="N68" s="14"/>
      <c r="O68" s="214"/>
      <c r="P68" s="141"/>
    </row>
    <row r="69" spans="1:15" ht="12.75">
      <c r="A69" s="366" t="s">
        <v>461</v>
      </c>
      <c r="O69" s="3"/>
    </row>
    <row r="70" spans="1:15" ht="12.75">
      <c r="A70" s="364" t="s">
        <v>462</v>
      </c>
      <c r="O70" s="3"/>
    </row>
    <row r="71" ht="12.75">
      <c r="A71" s="12"/>
    </row>
    <row r="72" ht="12.75">
      <c r="A72" s="12"/>
    </row>
    <row r="73" ht="12.75">
      <c r="A73" s="12"/>
    </row>
  </sheetData>
  <sheetProtection/>
  <mergeCells count="13">
    <mergeCell ref="O1:Q1"/>
    <mergeCell ref="B1:B2"/>
    <mergeCell ref="D1:D2"/>
    <mergeCell ref="E1:E2"/>
    <mergeCell ref="F1:F2"/>
    <mergeCell ref="G1:G2"/>
    <mergeCell ref="M1:M2"/>
    <mergeCell ref="L1:L2"/>
    <mergeCell ref="H1:H2"/>
    <mergeCell ref="I1:I2"/>
    <mergeCell ref="A64:A65"/>
    <mergeCell ref="J1:J2"/>
    <mergeCell ref="K1:K2"/>
  </mergeCells>
  <dataValidations count="1">
    <dataValidation type="date" allowBlank="1" showInputMessage="1" showErrorMessage="1" error="Solo fechas con formato dd-mm-aaaa" sqref="F28"/>
  </dataValidations>
  <printOptions horizontalCentered="1"/>
  <pageMargins left="0.5905511811023623" right="0.5905511811023623" top="1.3779527559055118" bottom="0" header="0" footer="0"/>
  <pageSetup fitToHeight="1" fitToWidth="1" horizontalDpi="300" verticalDpi="300" orientation="landscape" pageOrder="overThenDown" scale="52" r:id="rId2"/>
  <headerFooter alignWithMargins="0">
    <oddHeader>&amp;L&amp;G&amp;C
&amp;"Arial,Negrita"GOBIERNO DEL ESTADO DE SONORA
DIRECCIÓN GENERAL DE CRÉDITO PÚBLICO
SALDOS Y SERVICIO DE DEUDA DIRECTA 
CORRESPONDIENTE AL MES DE SEPTIEMBRE 2016
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view="pageBreakPreview" zoomScaleSheetLayoutView="100" workbookViewId="0" topLeftCell="A85">
      <selection activeCell="A13" sqref="A13"/>
    </sheetView>
  </sheetViews>
  <sheetFormatPr defaultColWidth="11.421875" defaultRowHeight="12.75"/>
  <cols>
    <col min="1" max="1" width="38.421875" style="1" customWidth="1"/>
    <col min="2" max="2" width="17.8515625" style="1" customWidth="1"/>
    <col min="3" max="3" width="15.28125" style="1" customWidth="1"/>
    <col min="4" max="4" width="15.7109375" style="1" customWidth="1"/>
    <col min="5" max="5" width="16.00390625" style="1" customWidth="1"/>
    <col min="6" max="6" width="13.421875" style="1" customWidth="1"/>
    <col min="7" max="7" width="13.00390625" style="123" customWidth="1"/>
    <col min="8" max="8" width="17.57421875" style="63" bestFit="1" customWidth="1"/>
    <col min="9" max="16384" width="11.421875" style="1" customWidth="1"/>
  </cols>
  <sheetData>
    <row r="1" spans="1:6" ht="20.25" customHeight="1">
      <c r="A1" s="120"/>
      <c r="B1" s="121" t="s">
        <v>99</v>
      </c>
      <c r="C1" s="122" t="s">
        <v>100</v>
      </c>
      <c r="D1" s="393" t="s">
        <v>101</v>
      </c>
      <c r="E1" s="368" t="s">
        <v>2</v>
      </c>
      <c r="F1" s="55" t="s">
        <v>3</v>
      </c>
    </row>
    <row r="2" spans="1:8" ht="20.25" customHeight="1">
      <c r="A2" s="120"/>
      <c r="B2" s="56" t="s">
        <v>5</v>
      </c>
      <c r="C2" s="124" t="s">
        <v>6</v>
      </c>
      <c r="D2" s="394"/>
      <c r="E2" s="369"/>
      <c r="F2" s="58" t="s">
        <v>7</v>
      </c>
      <c r="H2" s="63" t="s">
        <v>123</v>
      </c>
    </row>
    <row r="3" ht="12.75">
      <c r="A3" s="125" t="s">
        <v>80</v>
      </c>
    </row>
    <row r="4" spans="1:6" ht="12" customHeight="1">
      <c r="A4" s="5" t="s">
        <v>102</v>
      </c>
      <c r="B4" s="126">
        <v>26084.34</v>
      </c>
      <c r="C4" s="126">
        <v>14449.5</v>
      </c>
      <c r="D4" s="126">
        <v>0</v>
      </c>
      <c r="E4" s="126">
        <f>B4+C4+D4</f>
        <v>40533.84</v>
      </c>
      <c r="F4" s="86">
        <v>42633</v>
      </c>
    </row>
    <row r="5" spans="1:6" ht="12.75">
      <c r="A5" s="5"/>
      <c r="B5" s="126"/>
      <c r="C5" s="126"/>
      <c r="D5" s="126"/>
      <c r="E5" s="126"/>
      <c r="F5" s="112"/>
    </row>
    <row r="6" spans="1:6" ht="12.75">
      <c r="A6" s="125" t="s">
        <v>81</v>
      </c>
      <c r="B6" s="126"/>
      <c r="C6" s="126"/>
      <c r="D6" s="126"/>
      <c r="E6" s="126"/>
      <c r="F6" s="5"/>
    </row>
    <row r="7" spans="1:7" ht="12.75">
      <c r="A7" s="5" t="s">
        <v>103</v>
      </c>
      <c r="B7" s="126">
        <v>162295.76</v>
      </c>
      <c r="C7" s="126">
        <v>97675.09</v>
      </c>
      <c r="D7" s="126">
        <v>0</v>
      </c>
      <c r="E7" s="126">
        <f>B7+C7</f>
        <v>259970.85</v>
      </c>
      <c r="F7" s="313">
        <v>42643</v>
      </c>
      <c r="G7" s="123">
        <v>800011297</v>
      </c>
    </row>
    <row r="8" spans="1:6" ht="12.75">
      <c r="A8" s="1" t="s">
        <v>346</v>
      </c>
      <c r="B8" s="126">
        <v>52971</v>
      </c>
      <c r="C8" s="126">
        <v>249448.37</v>
      </c>
      <c r="D8" s="126">
        <v>0</v>
      </c>
      <c r="E8" s="126">
        <f>B8+C8+D8</f>
        <v>302419.37</v>
      </c>
      <c r="F8" s="313">
        <v>42622</v>
      </c>
    </row>
    <row r="9" spans="1:6" ht="12.75">
      <c r="A9" s="1" t="s">
        <v>347</v>
      </c>
      <c r="B9" s="126">
        <v>12148</v>
      </c>
      <c r="C9" s="126">
        <v>57736.95</v>
      </c>
      <c r="D9" s="126">
        <v>0</v>
      </c>
      <c r="E9" s="126">
        <f>B9+C9+D9</f>
        <v>69884.95</v>
      </c>
      <c r="F9" s="313">
        <v>42622</v>
      </c>
    </row>
    <row r="10" spans="1:6" ht="12.75">
      <c r="A10" s="5" t="s">
        <v>104</v>
      </c>
      <c r="B10" s="126">
        <v>407330</v>
      </c>
      <c r="C10" s="126">
        <v>503869.5</v>
      </c>
      <c r="D10" s="126">
        <v>0</v>
      </c>
      <c r="E10" s="126">
        <f>B10+C10</f>
        <v>911199.5</v>
      </c>
      <c r="F10" s="313">
        <v>42643</v>
      </c>
    </row>
    <row r="11" spans="1:6" ht="12.75">
      <c r="A11" s="1" t="s">
        <v>348</v>
      </c>
      <c r="B11" s="126">
        <v>158000</v>
      </c>
      <c r="C11" s="126">
        <v>586501.64</v>
      </c>
      <c r="D11" s="126">
        <v>0</v>
      </c>
      <c r="E11" s="126">
        <f>B11+C11</f>
        <v>744501.64</v>
      </c>
      <c r="F11" s="313">
        <v>42635</v>
      </c>
    </row>
    <row r="12" spans="1:6" ht="12.75">
      <c r="A12" s="1" t="s">
        <v>349</v>
      </c>
      <c r="B12" s="126">
        <v>127000</v>
      </c>
      <c r="C12" s="126">
        <v>468839.69</v>
      </c>
      <c r="D12" s="126">
        <v>0</v>
      </c>
      <c r="E12" s="126">
        <f>B12+C12</f>
        <v>595839.69</v>
      </c>
      <c r="F12" s="313">
        <v>42635</v>
      </c>
    </row>
    <row r="13" spans="1:6" ht="12.75">
      <c r="A13" s="5"/>
      <c r="B13" s="126"/>
      <c r="C13" s="126"/>
      <c r="D13" s="126"/>
      <c r="E13" s="126"/>
      <c r="F13" s="5"/>
    </row>
    <row r="14" spans="1:6" ht="12.75">
      <c r="A14" s="125" t="s">
        <v>105</v>
      </c>
      <c r="B14" s="126"/>
      <c r="C14" s="126"/>
      <c r="D14" s="126"/>
      <c r="E14" s="126"/>
      <c r="F14" s="5"/>
    </row>
    <row r="15" spans="1:6" ht="12.75">
      <c r="A15" s="5" t="s">
        <v>106</v>
      </c>
      <c r="B15" s="126">
        <v>35879.63</v>
      </c>
      <c r="C15" s="126">
        <v>19733.65</v>
      </c>
      <c r="D15" s="126">
        <v>0</v>
      </c>
      <c r="E15" s="126">
        <f>B15+C15+D15</f>
        <v>55613.28</v>
      </c>
      <c r="F15" s="86">
        <v>42633</v>
      </c>
    </row>
    <row r="16" spans="1:6" ht="12.75">
      <c r="A16" s="5" t="s">
        <v>107</v>
      </c>
      <c r="B16" s="126">
        <v>94008.23</v>
      </c>
      <c r="C16" s="126">
        <v>11879.8</v>
      </c>
      <c r="D16" s="126">
        <v>0</v>
      </c>
      <c r="E16" s="126">
        <f>B16+C16+D16</f>
        <v>105888.03</v>
      </c>
      <c r="F16" s="314">
        <v>42628</v>
      </c>
    </row>
    <row r="17" spans="1:6" ht="12.75">
      <c r="A17" s="5"/>
      <c r="B17" s="126"/>
      <c r="C17" s="126"/>
      <c r="D17" s="126"/>
      <c r="E17" s="126"/>
      <c r="F17" s="112"/>
    </row>
    <row r="18" spans="1:6" ht="12.75">
      <c r="A18" s="125" t="s">
        <v>108</v>
      </c>
      <c r="B18" s="126"/>
      <c r="C18" s="126"/>
      <c r="D18" s="126"/>
      <c r="E18" s="126"/>
      <c r="F18" s="112"/>
    </row>
    <row r="19" spans="1:6" ht="12.75">
      <c r="A19" s="5" t="s">
        <v>109</v>
      </c>
      <c r="B19" s="126">
        <v>17487.6</v>
      </c>
      <c r="C19" s="126">
        <v>9687.3</v>
      </c>
      <c r="D19" s="126">
        <v>0</v>
      </c>
      <c r="E19" s="126">
        <f>B19+C19+D19</f>
        <v>27174.899999999998</v>
      </c>
      <c r="F19" s="112">
        <v>42633</v>
      </c>
    </row>
    <row r="20" spans="1:6" ht="12.75">
      <c r="A20" s="5"/>
      <c r="B20" s="126"/>
      <c r="C20" s="126"/>
      <c r="D20" s="126"/>
      <c r="E20" s="126"/>
      <c r="F20" s="112"/>
    </row>
    <row r="21" spans="1:3" ht="12.75">
      <c r="A21" s="125" t="s">
        <v>82</v>
      </c>
      <c r="C21" s="3"/>
    </row>
    <row r="22" spans="1:6" ht="12.75">
      <c r="A22" s="5" t="s">
        <v>110</v>
      </c>
      <c r="B22" s="126">
        <v>16666.67</v>
      </c>
      <c r="C22" s="126">
        <v>7571.33</v>
      </c>
      <c r="D22" s="126">
        <v>0</v>
      </c>
      <c r="E22" s="126">
        <f>B22+C22+D22</f>
        <v>24238</v>
      </c>
      <c r="F22" s="112">
        <v>42621</v>
      </c>
    </row>
    <row r="23" spans="1:6" ht="12.75">
      <c r="A23" s="127" t="s">
        <v>111</v>
      </c>
      <c r="B23" s="126">
        <v>4259.82</v>
      </c>
      <c r="C23" s="126">
        <v>2090.05</v>
      </c>
      <c r="D23" s="126">
        <v>0</v>
      </c>
      <c r="E23" s="126">
        <f>B23+C23+D23</f>
        <v>6349.87</v>
      </c>
      <c r="F23" s="112">
        <v>42633</v>
      </c>
    </row>
    <row r="24" ht="12.75">
      <c r="C24" s="3"/>
    </row>
    <row r="25" spans="1:3" ht="12.75">
      <c r="A25" s="125" t="s">
        <v>83</v>
      </c>
      <c r="C25" s="3"/>
    </row>
    <row r="26" spans="1:6" ht="12.75">
      <c r="A26" s="5" t="s">
        <v>112</v>
      </c>
      <c r="B26" s="126">
        <v>11111.11</v>
      </c>
      <c r="C26" s="3">
        <v>6155.03</v>
      </c>
      <c r="D26" s="126">
        <v>0</v>
      </c>
      <c r="E26" s="13">
        <f>B26+C26+D26</f>
        <v>17266.14</v>
      </c>
      <c r="F26" s="271">
        <v>42633</v>
      </c>
    </row>
    <row r="27" ht="12.75">
      <c r="C27" s="3"/>
    </row>
    <row r="28" ht="12.75">
      <c r="A28" s="125" t="s">
        <v>113</v>
      </c>
    </row>
    <row r="29" spans="1:6" ht="12.75">
      <c r="A29" s="5" t="s">
        <v>114</v>
      </c>
      <c r="B29" s="126">
        <v>16666.67</v>
      </c>
      <c r="C29" s="126">
        <v>8220.83</v>
      </c>
      <c r="D29" s="126">
        <v>0</v>
      </c>
      <c r="E29" s="126">
        <f>B29+C29+D29</f>
        <v>24887.5</v>
      </c>
      <c r="F29" s="112">
        <v>42639</v>
      </c>
    </row>
    <row r="30" ht="12.75">
      <c r="C30" s="3"/>
    </row>
    <row r="31" spans="1:6" ht="12.75">
      <c r="A31" s="125" t="s">
        <v>115</v>
      </c>
      <c r="B31" s="128"/>
      <c r="C31" s="5"/>
      <c r="D31" s="5"/>
      <c r="E31" s="5"/>
      <c r="F31" s="5"/>
    </row>
    <row r="32" spans="1:6" ht="12.75">
      <c r="A32" s="5" t="s">
        <v>116</v>
      </c>
      <c r="B32" s="126">
        <v>8928.57</v>
      </c>
      <c r="C32" s="126">
        <v>3315.4</v>
      </c>
      <c r="D32" s="126">
        <v>0</v>
      </c>
      <c r="E32" s="126">
        <f>B32+C32</f>
        <v>12243.97</v>
      </c>
      <c r="F32" s="86">
        <v>42621</v>
      </c>
    </row>
    <row r="33" spans="1:7" ht="12.75">
      <c r="A33" s="1" t="s">
        <v>373</v>
      </c>
      <c r="B33" s="126">
        <v>89285.71</v>
      </c>
      <c r="C33" s="126">
        <v>19200.47</v>
      </c>
      <c r="D33" s="126">
        <v>0</v>
      </c>
      <c r="E33" s="126">
        <f>B33+C33</f>
        <v>108486.18000000001</v>
      </c>
      <c r="F33" s="86">
        <v>42643</v>
      </c>
      <c r="G33" s="123">
        <v>800011290</v>
      </c>
    </row>
    <row r="34" spans="1:7" ht="12.75">
      <c r="A34" s="5" t="str">
        <f>'[1]SALDO MPIO NO AVALADO'!A33</f>
        <v>BANOBRAS / BACUM C.S. 5,3 MDP (10519)</v>
      </c>
      <c r="B34" s="126">
        <v>15523.36</v>
      </c>
      <c r="C34" s="126">
        <v>20118.61</v>
      </c>
      <c r="D34" s="126">
        <v>0</v>
      </c>
      <c r="E34" s="126">
        <f>B34+C34</f>
        <v>35641.97</v>
      </c>
      <c r="F34" s="86">
        <v>42643</v>
      </c>
      <c r="G34" s="123">
        <v>800011293</v>
      </c>
    </row>
    <row r="35" spans="1:6" ht="12.75">
      <c r="A35" s="127" t="s">
        <v>354</v>
      </c>
      <c r="B35" s="126">
        <v>92118</v>
      </c>
      <c r="C35" s="126">
        <v>203363</v>
      </c>
      <c r="D35" s="126">
        <v>0</v>
      </c>
      <c r="E35" s="126">
        <f>B35+C35</f>
        <v>295481</v>
      </c>
      <c r="F35" s="86">
        <v>42612</v>
      </c>
    </row>
    <row r="36" spans="1:6" ht="12.75">
      <c r="A36" s="127" t="str">
        <f>'SALDO MPIO NO AVALADO'!A37</f>
        <v>INTERACCIONES 7.9 MDP 2015 330025099</v>
      </c>
      <c r="B36" s="126">
        <v>66666</v>
      </c>
      <c r="C36" s="126">
        <v>88054.2</v>
      </c>
      <c r="D36" s="126">
        <v>0</v>
      </c>
      <c r="E36" s="126">
        <f>B36+C36</f>
        <v>154720.2</v>
      </c>
      <c r="F36" s="86">
        <v>42612</v>
      </c>
    </row>
    <row r="37" spans="1:6" ht="12.75">
      <c r="A37" s="127"/>
      <c r="B37" s="126"/>
      <c r="C37" s="126"/>
      <c r="D37" s="126"/>
      <c r="E37" s="126"/>
      <c r="F37" s="86"/>
    </row>
    <row r="38" spans="1:6" ht="12.75">
      <c r="A38" s="125" t="s">
        <v>84</v>
      </c>
      <c r="B38" s="126"/>
      <c r="C38" s="126"/>
      <c r="D38" s="126"/>
      <c r="E38" s="126"/>
      <c r="F38" s="86"/>
    </row>
    <row r="39" spans="1:6" ht="12.75">
      <c r="A39" s="127" t="s">
        <v>353</v>
      </c>
      <c r="B39" s="126">
        <v>34492</v>
      </c>
      <c r="C39" s="126">
        <v>54734.04</v>
      </c>
      <c r="D39" s="126">
        <v>0</v>
      </c>
      <c r="E39" s="126">
        <f>B39+C39+D39</f>
        <v>89226.04000000001</v>
      </c>
      <c r="F39" s="86">
        <v>42616</v>
      </c>
    </row>
    <row r="40" spans="1:6" ht="12.75">
      <c r="A40" s="127"/>
      <c r="B40" s="126"/>
      <c r="C40" s="126"/>
      <c r="D40" s="126"/>
      <c r="E40" s="126"/>
      <c r="F40" s="86"/>
    </row>
    <row r="41" spans="1:6" ht="12.75">
      <c r="A41" s="125" t="s">
        <v>118</v>
      </c>
      <c r="B41" s="126"/>
      <c r="C41" s="126"/>
      <c r="D41" s="126"/>
      <c r="E41" s="126"/>
      <c r="F41" s="86"/>
    </row>
    <row r="42" spans="1:7" ht="12.75">
      <c r="A42" s="5" t="s">
        <v>119</v>
      </c>
      <c r="B42" s="126">
        <v>21201.93</v>
      </c>
      <c r="C42" s="126">
        <v>6081.93</v>
      </c>
      <c r="D42" s="126">
        <v>0</v>
      </c>
      <c r="E42" s="126">
        <f>B42+C42</f>
        <v>27283.86</v>
      </c>
      <c r="F42" s="86">
        <v>42643</v>
      </c>
      <c r="G42" s="123">
        <v>800011283</v>
      </c>
    </row>
    <row r="43" spans="1:7" ht="12.75">
      <c r="A43" s="1" t="s">
        <v>368</v>
      </c>
      <c r="B43" s="126">
        <v>21105.35</v>
      </c>
      <c r="C43" s="126">
        <v>9155.18</v>
      </c>
      <c r="D43" s="126">
        <v>0</v>
      </c>
      <c r="E43" s="126">
        <f>B43+C43</f>
        <v>30260.53</v>
      </c>
      <c r="F43" s="86">
        <v>42643</v>
      </c>
      <c r="G43" s="123">
        <v>800011286</v>
      </c>
    </row>
    <row r="44" spans="1:7" ht="12.75">
      <c r="A44" s="1" t="s">
        <v>369</v>
      </c>
      <c r="B44" s="126">
        <v>34700.12</v>
      </c>
      <c r="C44" s="126">
        <v>15510.75</v>
      </c>
      <c r="D44" s="126">
        <v>0</v>
      </c>
      <c r="E44" s="126">
        <f>B44+C44</f>
        <v>50210.87</v>
      </c>
      <c r="F44" s="86">
        <v>42643</v>
      </c>
      <c r="G44" s="315">
        <v>800011288</v>
      </c>
    </row>
    <row r="45" spans="1:6" ht="12.75">
      <c r="A45" s="5"/>
      <c r="B45" s="126"/>
      <c r="C45" s="126"/>
      <c r="D45" s="126"/>
      <c r="E45" s="126"/>
      <c r="F45" s="86"/>
    </row>
    <row r="46" spans="1:6" ht="12.75">
      <c r="A46" s="125" t="s">
        <v>120</v>
      </c>
      <c r="B46" s="126"/>
      <c r="C46" s="126"/>
      <c r="D46" s="126"/>
      <c r="E46" s="126"/>
      <c r="F46" s="86"/>
    </row>
    <row r="47" spans="1:8" ht="12.75">
      <c r="A47" s="5" t="s">
        <v>121</v>
      </c>
      <c r="B47" s="126">
        <v>66666.67</v>
      </c>
      <c r="C47" s="126">
        <v>6047.87</v>
      </c>
      <c r="D47" s="126">
        <v>0</v>
      </c>
      <c r="E47" s="126">
        <f>B47+C47+D47</f>
        <v>72714.54</v>
      </c>
      <c r="F47" s="86">
        <v>42643</v>
      </c>
      <c r="G47" s="123">
        <v>800011284</v>
      </c>
      <c r="H47" s="316"/>
    </row>
    <row r="48" spans="1:8" ht="12.75">
      <c r="A48" s="1" t="s">
        <v>370</v>
      </c>
      <c r="B48" s="126">
        <v>54659.18</v>
      </c>
      <c r="C48" s="126">
        <v>118065.94</v>
      </c>
      <c r="D48" s="126">
        <v>0</v>
      </c>
      <c r="E48" s="126">
        <f>B48+C48+D48</f>
        <v>172725.12</v>
      </c>
      <c r="F48" s="86">
        <v>42625</v>
      </c>
      <c r="G48" s="123">
        <v>800010841</v>
      </c>
      <c r="H48" s="316"/>
    </row>
    <row r="49" spans="1:6" ht="12.75">
      <c r="A49" s="5" t="s">
        <v>122</v>
      </c>
      <c r="B49" s="126">
        <v>765391</v>
      </c>
      <c r="C49" s="126">
        <v>194189.1</v>
      </c>
      <c r="D49" s="126">
        <v>0</v>
      </c>
      <c r="E49" s="126">
        <f>B49+C49+D49</f>
        <v>959580.1</v>
      </c>
      <c r="F49" s="86">
        <v>42643</v>
      </c>
    </row>
    <row r="50" spans="1:6" ht="12.75">
      <c r="A50" s="5"/>
      <c r="B50" s="126"/>
      <c r="C50" s="126"/>
      <c r="D50" s="126"/>
      <c r="E50" s="126"/>
      <c r="F50" s="86" t="s">
        <v>123</v>
      </c>
    </row>
    <row r="51" spans="1:6" ht="12.75">
      <c r="A51" s="125" t="s">
        <v>124</v>
      </c>
      <c r="B51" s="126"/>
      <c r="C51" s="126"/>
      <c r="D51" s="126"/>
      <c r="E51" s="126"/>
      <c r="F51" s="5"/>
    </row>
    <row r="52" spans="1:8" s="318" customFormat="1" ht="12.75">
      <c r="A52" s="127" t="s">
        <v>125</v>
      </c>
      <c r="B52" s="126">
        <v>648208</v>
      </c>
      <c r="C52" s="126">
        <v>1116358.5</v>
      </c>
      <c r="D52" s="126">
        <v>0</v>
      </c>
      <c r="E52" s="126">
        <f>B52+C52+D52</f>
        <v>1764566.5</v>
      </c>
      <c r="F52" s="271">
        <v>42643</v>
      </c>
      <c r="G52" s="272"/>
      <c r="H52" s="317"/>
    </row>
    <row r="53" spans="1:8" s="129" customFormat="1" ht="12.75">
      <c r="A53" s="129" t="s">
        <v>126</v>
      </c>
      <c r="B53" s="130">
        <v>0</v>
      </c>
      <c r="C53" s="130">
        <v>1493369.73</v>
      </c>
      <c r="D53" s="130">
        <v>0</v>
      </c>
      <c r="E53" s="131">
        <f>B53+C53+D53</f>
        <v>1493369.73</v>
      </c>
      <c r="F53" s="319">
        <v>42643</v>
      </c>
      <c r="G53" s="320" t="s">
        <v>363</v>
      </c>
      <c r="H53" s="132"/>
    </row>
    <row r="55" spans="1:6" ht="12.75">
      <c r="A55" s="125" t="s">
        <v>127</v>
      </c>
      <c r="B55" s="126"/>
      <c r="C55" s="126"/>
      <c r="D55" s="126"/>
      <c r="E55" s="126"/>
      <c r="F55" s="5"/>
    </row>
    <row r="56" spans="1:6" ht="12.75">
      <c r="A56" s="5" t="s">
        <v>128</v>
      </c>
      <c r="B56" s="126">
        <v>258333.33</v>
      </c>
      <c r="C56" s="126">
        <v>78577.28</v>
      </c>
      <c r="D56" s="126">
        <v>0</v>
      </c>
      <c r="E56" s="126">
        <f>B56+C56</f>
        <v>336910.61</v>
      </c>
      <c r="F56" s="86">
        <v>42621</v>
      </c>
    </row>
    <row r="57" spans="1:6" ht="12.75">
      <c r="A57" s="5" t="s">
        <v>129</v>
      </c>
      <c r="B57" s="126">
        <v>259690.61</v>
      </c>
      <c r="C57" s="126">
        <v>93340.88</v>
      </c>
      <c r="D57" s="126">
        <v>0</v>
      </c>
      <c r="E57" s="126">
        <f>B57+C57+D57</f>
        <v>353031.49</v>
      </c>
      <c r="F57" s="86">
        <v>42646</v>
      </c>
    </row>
    <row r="58" ht="12.75">
      <c r="B58" s="3"/>
    </row>
    <row r="59" spans="1:2" ht="12.75">
      <c r="A59" s="125" t="s">
        <v>85</v>
      </c>
      <c r="B59" s="3"/>
    </row>
    <row r="60" spans="1:6" ht="12.75">
      <c r="A60" s="5" t="s">
        <v>130</v>
      </c>
      <c r="B60" s="3">
        <v>28611.11</v>
      </c>
      <c r="C60" s="3">
        <v>14314.3</v>
      </c>
      <c r="D60" s="126">
        <v>0</v>
      </c>
      <c r="E60" s="3">
        <f>B60+C60+D60</f>
        <v>42925.41</v>
      </c>
      <c r="F60" s="112">
        <v>42633</v>
      </c>
    </row>
    <row r="61" ht="12.75">
      <c r="B61" s="3"/>
    </row>
    <row r="62" spans="1:6" ht="12.75">
      <c r="A62" s="125" t="s">
        <v>131</v>
      </c>
      <c r="B62" s="126"/>
      <c r="C62" s="126"/>
      <c r="D62" s="126"/>
      <c r="E62" s="126"/>
      <c r="F62" s="74"/>
    </row>
    <row r="63" spans="1:7" ht="12.75">
      <c r="A63" s="5" t="s">
        <v>132</v>
      </c>
      <c r="B63" s="126">
        <v>0</v>
      </c>
      <c r="C63" s="126">
        <v>0</v>
      </c>
      <c r="D63" s="126">
        <v>0</v>
      </c>
      <c r="E63" s="126">
        <f>B63+C63</f>
        <v>0</v>
      </c>
      <c r="F63" s="86">
        <v>42583</v>
      </c>
      <c r="G63" s="123">
        <v>800007423</v>
      </c>
    </row>
    <row r="64" spans="1:7" ht="12.75">
      <c r="A64" s="5" t="s">
        <v>133</v>
      </c>
      <c r="B64" s="126">
        <v>59523.81</v>
      </c>
      <c r="C64" s="126">
        <v>9757.97</v>
      </c>
      <c r="D64" s="126">
        <v>0</v>
      </c>
      <c r="E64" s="126">
        <f>B64+C64+D64</f>
        <v>69281.78</v>
      </c>
      <c r="F64" s="86">
        <v>42643</v>
      </c>
      <c r="G64" s="123">
        <v>800011304</v>
      </c>
    </row>
    <row r="65" spans="1:6" ht="12.75">
      <c r="A65" s="5"/>
      <c r="B65" s="126"/>
      <c r="C65" s="126"/>
      <c r="D65" s="126"/>
      <c r="E65" s="126"/>
      <c r="F65" s="86"/>
    </row>
    <row r="66" spans="1:6" ht="12.75">
      <c r="A66" s="125" t="s">
        <v>86</v>
      </c>
      <c r="B66" s="126"/>
      <c r="C66" s="126"/>
      <c r="D66" s="126"/>
      <c r="E66" s="126"/>
      <c r="F66" s="86"/>
    </row>
    <row r="67" spans="1:6" ht="12.75">
      <c r="A67" s="5" t="s">
        <v>134</v>
      </c>
      <c r="B67" s="126">
        <v>33333.33</v>
      </c>
      <c r="C67" s="126">
        <v>19010.56</v>
      </c>
      <c r="D67" s="126">
        <v>0</v>
      </c>
      <c r="E67" s="126">
        <f>B67+C67+D67</f>
        <v>52343.89</v>
      </c>
      <c r="F67" s="86">
        <v>42633</v>
      </c>
    </row>
    <row r="68" spans="1:6" ht="12.75">
      <c r="A68" s="5"/>
      <c r="B68" s="126"/>
      <c r="C68" s="126"/>
      <c r="D68" s="126"/>
      <c r="E68" s="126"/>
      <c r="F68" s="74"/>
    </row>
    <row r="69" spans="1:6" ht="12.75">
      <c r="A69" s="125" t="s">
        <v>87</v>
      </c>
      <c r="B69" s="126"/>
      <c r="C69" s="126"/>
      <c r="D69" s="126"/>
      <c r="E69" s="126"/>
      <c r="F69" s="74"/>
    </row>
    <row r="70" spans="1:6" ht="12.75">
      <c r="A70" s="5" t="s">
        <v>135</v>
      </c>
      <c r="B70" s="126">
        <v>36111.11</v>
      </c>
      <c r="C70" s="126">
        <v>20724.49</v>
      </c>
      <c r="D70" s="126">
        <v>0</v>
      </c>
      <c r="E70" s="126">
        <f>B70+C70+D70</f>
        <v>56835.600000000006</v>
      </c>
      <c r="F70" s="86">
        <v>42633</v>
      </c>
    </row>
    <row r="71" spans="1:6" ht="12.75">
      <c r="A71" s="5"/>
      <c r="B71" s="126"/>
      <c r="C71" s="126"/>
      <c r="D71" s="126"/>
      <c r="E71" s="126"/>
      <c r="F71" s="74"/>
    </row>
    <row r="72" spans="1:6" ht="12.75">
      <c r="A72" s="125" t="s">
        <v>136</v>
      </c>
      <c r="B72" s="126"/>
      <c r="C72" s="126"/>
      <c r="D72" s="126"/>
      <c r="E72" s="126"/>
      <c r="F72" s="5"/>
    </row>
    <row r="73" spans="1:7" ht="12" customHeight="1">
      <c r="A73" s="1" t="s">
        <v>371</v>
      </c>
      <c r="B73" s="126">
        <v>58625.7</v>
      </c>
      <c r="C73" s="126">
        <v>59801.19</v>
      </c>
      <c r="D73" s="126">
        <v>0</v>
      </c>
      <c r="E73" s="126">
        <f>B73+C73+D73</f>
        <v>118426.89</v>
      </c>
      <c r="F73" s="86">
        <v>42633</v>
      </c>
      <c r="G73" s="123">
        <v>800011140</v>
      </c>
    </row>
    <row r="74" spans="1:6" ht="12" customHeight="1">
      <c r="A74" s="127" t="s">
        <v>359</v>
      </c>
      <c r="B74" s="126">
        <v>165617.48</v>
      </c>
      <c r="C74" s="126">
        <v>305311.6</v>
      </c>
      <c r="D74" s="126">
        <v>0</v>
      </c>
      <c r="E74" s="126">
        <f>B74+C74+D74</f>
        <v>470929.07999999996</v>
      </c>
      <c r="F74" s="86">
        <v>42643</v>
      </c>
    </row>
    <row r="75" spans="1:6" ht="12.75">
      <c r="A75" s="5"/>
      <c r="B75" s="133"/>
      <c r="C75" s="10"/>
      <c r="D75" s="10"/>
      <c r="E75" s="10"/>
      <c r="F75" s="10"/>
    </row>
    <row r="76" spans="1:6" ht="14.25" customHeight="1">
      <c r="A76" s="125" t="s">
        <v>137</v>
      </c>
      <c r="B76" s="63"/>
      <c r="C76" s="63"/>
      <c r="D76" s="63"/>
      <c r="E76" s="63"/>
      <c r="F76" s="5"/>
    </row>
    <row r="77" spans="1:7" ht="12.75">
      <c r="A77" s="5" t="s">
        <v>138</v>
      </c>
      <c r="B77" s="126">
        <v>260375.53</v>
      </c>
      <c r="C77" s="126">
        <v>28362.85</v>
      </c>
      <c r="D77" s="126">
        <v>0</v>
      </c>
      <c r="E77" s="126">
        <f>B77+C77</f>
        <v>288738.38</v>
      </c>
      <c r="F77" s="86">
        <v>42643</v>
      </c>
      <c r="G77" s="123">
        <v>800011282</v>
      </c>
    </row>
    <row r="78" spans="1:6" ht="12.75">
      <c r="A78" s="5"/>
      <c r="B78" s="126"/>
      <c r="C78" s="126"/>
      <c r="D78" s="126"/>
      <c r="E78" s="126"/>
      <c r="F78" s="5"/>
    </row>
    <row r="79" spans="1:6" ht="12.75">
      <c r="A79" s="125" t="s">
        <v>139</v>
      </c>
      <c r="B79" s="126"/>
      <c r="C79" s="126"/>
      <c r="D79" s="126"/>
      <c r="E79" s="126"/>
      <c r="F79" s="5"/>
    </row>
    <row r="80" spans="1:7" ht="12.75">
      <c r="A80" s="5" t="s">
        <v>140</v>
      </c>
      <c r="B80" s="126">
        <v>42538.94</v>
      </c>
      <c r="C80" s="126">
        <v>5327.03</v>
      </c>
      <c r="D80" s="126">
        <v>0</v>
      </c>
      <c r="E80" s="126">
        <f>B80+C80+D80</f>
        <v>47865.97</v>
      </c>
      <c r="F80" s="86">
        <v>42643</v>
      </c>
      <c r="G80" s="123">
        <v>800011281</v>
      </c>
    </row>
    <row r="81" spans="1:6" ht="12.75">
      <c r="A81" s="5"/>
      <c r="B81" s="126"/>
      <c r="C81" s="126"/>
      <c r="D81" s="126"/>
      <c r="E81" s="126"/>
      <c r="F81" s="86"/>
    </row>
    <row r="82" spans="1:6" ht="12.75">
      <c r="A82" s="125" t="s">
        <v>141</v>
      </c>
      <c r="B82" s="126"/>
      <c r="C82" s="126"/>
      <c r="D82" s="126"/>
      <c r="E82" s="126"/>
      <c r="F82" s="86"/>
    </row>
    <row r="83" spans="1:6" ht="12.75">
      <c r="A83" s="127" t="s">
        <v>142</v>
      </c>
      <c r="B83" s="126">
        <v>75794.4</v>
      </c>
      <c r="C83" s="126">
        <v>67753.31</v>
      </c>
      <c r="D83" s="126">
        <v>0</v>
      </c>
      <c r="E83" s="126">
        <f>B83+C83</f>
        <v>143547.71</v>
      </c>
      <c r="F83" s="86">
        <v>42622</v>
      </c>
    </row>
    <row r="84" spans="1:6" ht="12.75">
      <c r="A84" s="127"/>
      <c r="B84" s="126"/>
      <c r="C84" s="126"/>
      <c r="D84" s="126"/>
      <c r="E84" s="126"/>
      <c r="F84" s="86"/>
    </row>
    <row r="85" spans="1:8" ht="15">
      <c r="A85" s="125" t="s">
        <v>355</v>
      </c>
      <c r="B85" s="65"/>
      <c r="C85" s="126"/>
      <c r="D85" s="134"/>
      <c r="E85" s="54"/>
      <c r="F85" s="135"/>
      <c r="G85" s="136"/>
      <c r="H85" s="233"/>
    </row>
    <row r="86" spans="1:8" ht="13.5">
      <c r="A86" s="5" t="s">
        <v>175</v>
      </c>
      <c r="B86" s="126">
        <v>51256.61</v>
      </c>
      <c r="C86" s="126">
        <v>28190.93</v>
      </c>
      <c r="D86" s="126">
        <v>0</v>
      </c>
      <c r="E86" s="126">
        <f>B86+C86+D86</f>
        <v>79447.54000000001</v>
      </c>
      <c r="F86" s="86">
        <v>42633</v>
      </c>
      <c r="G86" s="136"/>
      <c r="H86" s="321"/>
    </row>
    <row r="87" spans="1:6" ht="12.75">
      <c r="A87" s="5"/>
      <c r="B87" s="126"/>
      <c r="C87" s="126"/>
      <c r="D87" s="126"/>
      <c r="E87" s="126"/>
      <c r="F87" s="86"/>
    </row>
    <row r="88" spans="1:6" ht="12.75">
      <c r="A88" s="125" t="s">
        <v>143</v>
      </c>
      <c r="B88" s="63"/>
      <c r="C88" s="63"/>
      <c r="D88" s="63"/>
      <c r="E88" s="63"/>
      <c r="F88" s="5"/>
    </row>
    <row r="89" spans="1:7" ht="12.75">
      <c r="A89" s="5" t="s">
        <v>144</v>
      </c>
      <c r="B89" s="126">
        <v>146448</v>
      </c>
      <c r="C89" s="126">
        <v>218524.43</v>
      </c>
      <c r="D89" s="126">
        <v>0</v>
      </c>
      <c r="E89" s="126">
        <f>B89+C89</f>
        <v>364972.43</v>
      </c>
      <c r="F89" s="86">
        <v>42641</v>
      </c>
      <c r="G89" s="272"/>
    </row>
    <row r="90" spans="1:6" ht="12.75">
      <c r="A90" s="5" t="s">
        <v>145</v>
      </c>
      <c r="B90" s="126">
        <v>89285.71</v>
      </c>
      <c r="C90" s="126">
        <v>32421.43</v>
      </c>
      <c r="D90" s="126">
        <v>0</v>
      </c>
      <c r="E90" s="126">
        <f>B90+C90+D90</f>
        <v>121707.14000000001</v>
      </c>
      <c r="F90" s="86">
        <v>42625</v>
      </c>
    </row>
    <row r="91" spans="1:6" ht="12.75">
      <c r="A91" s="5" t="s">
        <v>146</v>
      </c>
      <c r="B91" s="126">
        <v>59523.81</v>
      </c>
      <c r="C91" s="126">
        <v>23582.8</v>
      </c>
      <c r="D91" s="126">
        <v>0</v>
      </c>
      <c r="E91" s="126">
        <f>B91+C91</f>
        <v>83106.61</v>
      </c>
      <c r="F91" s="86">
        <v>42667</v>
      </c>
    </row>
    <row r="92" spans="1:7" ht="12.75">
      <c r="A92" s="5" t="s">
        <v>147</v>
      </c>
      <c r="B92" s="126">
        <v>71665</v>
      </c>
      <c r="C92" s="126">
        <v>2220946.91</v>
      </c>
      <c r="D92" s="126">
        <v>0</v>
      </c>
      <c r="E92" s="126">
        <f>B92+C92+D92</f>
        <v>2292611.91</v>
      </c>
      <c r="F92" s="271">
        <v>42643</v>
      </c>
      <c r="G92" s="123" t="s">
        <v>148</v>
      </c>
    </row>
    <row r="93" spans="1:6" ht="15">
      <c r="A93" s="5"/>
      <c r="B93" s="137"/>
      <c r="C93" s="126"/>
      <c r="D93" s="126"/>
      <c r="E93" s="126"/>
      <c r="F93" s="86"/>
    </row>
    <row r="94" spans="1:6" ht="12.75">
      <c r="A94" s="125" t="s">
        <v>149</v>
      </c>
      <c r="B94" s="126"/>
      <c r="C94" s="126"/>
      <c r="D94" s="126"/>
      <c r="E94" s="126"/>
      <c r="F94" s="5"/>
    </row>
    <row r="95" spans="1:7" ht="12.75">
      <c r="A95" s="127" t="s">
        <v>144</v>
      </c>
      <c r="B95" s="126">
        <v>1436361</v>
      </c>
      <c r="C95" s="126">
        <v>1903248.41</v>
      </c>
      <c r="D95" s="126">
        <v>0</v>
      </c>
      <c r="E95" s="126">
        <f aca="true" t="shared" si="0" ref="E95:E100">B95+C95</f>
        <v>3339609.41</v>
      </c>
      <c r="F95" s="86">
        <v>42641</v>
      </c>
      <c r="G95" s="272"/>
    </row>
    <row r="96" spans="1:6" ht="12.75">
      <c r="A96" s="5" t="s">
        <v>150</v>
      </c>
      <c r="B96" s="126">
        <v>519340</v>
      </c>
      <c r="C96" s="126">
        <v>1540356.45</v>
      </c>
      <c r="D96" s="126">
        <v>0</v>
      </c>
      <c r="E96" s="126">
        <f t="shared" si="0"/>
        <v>2059696.45</v>
      </c>
      <c r="F96" s="86">
        <v>42643</v>
      </c>
    </row>
    <row r="97" spans="1:7" ht="12.75">
      <c r="A97" s="127" t="s">
        <v>151</v>
      </c>
      <c r="B97" s="126">
        <v>500000</v>
      </c>
      <c r="C97" s="126">
        <v>3533712.86</v>
      </c>
      <c r="D97" s="126">
        <v>0</v>
      </c>
      <c r="E97" s="126">
        <f t="shared" si="0"/>
        <v>4033712.86</v>
      </c>
      <c r="F97" s="86">
        <v>42638</v>
      </c>
      <c r="G97" s="272"/>
    </row>
    <row r="98" spans="1:7" ht="12.75">
      <c r="A98" s="5" t="s">
        <v>152</v>
      </c>
      <c r="B98" s="126">
        <v>361285.75</v>
      </c>
      <c r="C98" s="126">
        <v>1210002.19</v>
      </c>
      <c r="D98" s="126">
        <v>0</v>
      </c>
      <c r="E98" s="126">
        <f t="shared" si="0"/>
        <v>1571287.94</v>
      </c>
      <c r="F98" s="86">
        <v>42643</v>
      </c>
      <c r="G98" s="123" t="s">
        <v>153</v>
      </c>
    </row>
    <row r="99" spans="1:6" ht="12.75">
      <c r="A99" s="127" t="s">
        <v>429</v>
      </c>
      <c r="B99" s="126">
        <v>0</v>
      </c>
      <c r="C99" s="126">
        <v>570416.7</v>
      </c>
      <c r="D99" s="126">
        <v>0</v>
      </c>
      <c r="E99" s="126">
        <f t="shared" si="0"/>
        <v>570416.7</v>
      </c>
      <c r="F99" s="86">
        <v>42643</v>
      </c>
    </row>
    <row r="100" spans="1:6" ht="12.75">
      <c r="A100" s="127" t="s">
        <v>397</v>
      </c>
      <c r="B100" s="126">
        <v>6666666.67</v>
      </c>
      <c r="C100" s="126">
        <v>166555.5</v>
      </c>
      <c r="D100" s="126">
        <v>0</v>
      </c>
      <c r="E100" s="126">
        <f t="shared" si="0"/>
        <v>6833222.17</v>
      </c>
      <c r="F100" s="86">
        <v>42643</v>
      </c>
    </row>
    <row r="101" spans="1:6" ht="12.75">
      <c r="A101" s="125" t="s">
        <v>154</v>
      </c>
      <c r="B101" s="126"/>
      <c r="C101" s="126"/>
      <c r="D101" s="126"/>
      <c r="E101" s="126"/>
      <c r="F101" s="63"/>
    </row>
    <row r="102" spans="1:6" ht="12.75">
      <c r="A102" s="5" t="s">
        <v>155</v>
      </c>
      <c r="B102" s="126">
        <v>276488.1</v>
      </c>
      <c r="C102" s="126">
        <v>70993.01</v>
      </c>
      <c r="D102" s="126">
        <v>0</v>
      </c>
      <c r="E102" s="126">
        <f>B102+C102+D102</f>
        <v>347481.11</v>
      </c>
      <c r="F102" s="86">
        <v>42621</v>
      </c>
    </row>
    <row r="103" spans="1:7" ht="12.75">
      <c r="A103" s="127" t="s">
        <v>156</v>
      </c>
      <c r="B103" s="126">
        <v>200000</v>
      </c>
      <c r="C103" s="126">
        <v>2227392.13</v>
      </c>
      <c r="D103" s="126">
        <v>0</v>
      </c>
      <c r="E103" s="126">
        <f>B103+C103+D103</f>
        <v>2427392.13</v>
      </c>
      <c r="F103" s="86">
        <v>42643</v>
      </c>
      <c r="G103" s="272"/>
    </row>
    <row r="104" spans="1:6" ht="12.75">
      <c r="A104" s="5"/>
      <c r="B104" s="126"/>
      <c r="C104" s="126"/>
      <c r="D104" s="126"/>
      <c r="E104" s="126"/>
      <c r="F104" s="86"/>
    </row>
    <row r="105" spans="1:6" ht="13.5" customHeight="1">
      <c r="A105" s="125" t="s">
        <v>157</v>
      </c>
      <c r="B105" s="126"/>
      <c r="C105" s="126"/>
      <c r="D105" s="126"/>
      <c r="E105" s="126"/>
      <c r="F105" s="86"/>
    </row>
    <row r="106" spans="1:7" ht="12.75">
      <c r="A106" s="5" t="s">
        <v>158</v>
      </c>
      <c r="B106" s="126">
        <v>140533.98</v>
      </c>
      <c r="C106" s="126">
        <v>471365.66</v>
      </c>
      <c r="D106" s="126">
        <v>0</v>
      </c>
      <c r="E106" s="126">
        <f>B106+C106+D106</f>
        <v>611899.64</v>
      </c>
      <c r="F106" s="86">
        <v>42649</v>
      </c>
      <c r="G106" s="123">
        <v>800011295</v>
      </c>
    </row>
    <row r="107" spans="1:6" ht="12.75">
      <c r="A107" s="5"/>
      <c r="B107" s="126"/>
      <c r="C107" s="126"/>
      <c r="D107" s="126"/>
      <c r="E107" s="126"/>
      <c r="F107" s="86"/>
    </row>
    <row r="108" spans="1:6" ht="12.75">
      <c r="A108" s="125" t="s">
        <v>159</v>
      </c>
      <c r="B108" s="126"/>
      <c r="C108" s="126"/>
      <c r="D108" s="126"/>
      <c r="E108" s="126"/>
      <c r="F108" s="5"/>
    </row>
    <row r="109" spans="1:6" ht="12.75">
      <c r="A109" s="5" t="s">
        <v>160</v>
      </c>
      <c r="B109" s="126">
        <v>16666.67</v>
      </c>
      <c r="C109" s="126">
        <v>9242.75</v>
      </c>
      <c r="D109" s="126">
        <v>0</v>
      </c>
      <c r="E109" s="126">
        <f>B109+C109+D109</f>
        <v>25909.42</v>
      </c>
      <c r="F109" s="86">
        <v>42633</v>
      </c>
    </row>
    <row r="110" spans="1:6" ht="12.75">
      <c r="A110" s="127" t="s">
        <v>358</v>
      </c>
      <c r="B110" s="126">
        <v>84787.16</v>
      </c>
      <c r="C110" s="126">
        <v>141843.4</v>
      </c>
      <c r="D110" s="126">
        <v>0</v>
      </c>
      <c r="E110" s="126">
        <f>B110+C110+D110</f>
        <v>226630.56</v>
      </c>
      <c r="F110" s="86">
        <v>42643</v>
      </c>
    </row>
    <row r="111" spans="1:6" ht="12.75">
      <c r="A111" s="5"/>
      <c r="B111" s="126"/>
      <c r="C111" s="126"/>
      <c r="D111" s="126"/>
      <c r="E111" s="126" t="s">
        <v>123</v>
      </c>
      <c r="F111" s="5"/>
    </row>
    <row r="112" spans="1:6" ht="12.75">
      <c r="A112" s="125" t="s">
        <v>161</v>
      </c>
      <c r="B112" s="126"/>
      <c r="C112" s="126"/>
      <c r="D112" s="126"/>
      <c r="E112" s="126"/>
      <c r="F112" s="5"/>
    </row>
    <row r="113" spans="1:6" ht="12.75">
      <c r="A113" s="5" t="s">
        <v>162</v>
      </c>
      <c r="B113" s="126">
        <v>15241.67</v>
      </c>
      <c r="C113" s="126">
        <v>8301.59</v>
      </c>
      <c r="D113" s="126">
        <v>0</v>
      </c>
      <c r="E113" s="126">
        <f>B113+C113+D113</f>
        <v>23543.260000000002</v>
      </c>
      <c r="F113" s="86">
        <v>42633</v>
      </c>
    </row>
    <row r="114" spans="1:7" ht="12.75">
      <c r="A114" s="127" t="s">
        <v>360</v>
      </c>
      <c r="B114" s="126">
        <v>51552.59</v>
      </c>
      <c r="C114" s="126">
        <v>139967.87</v>
      </c>
      <c r="D114" s="126">
        <v>0</v>
      </c>
      <c r="E114" s="126">
        <f>B114+C114+D114</f>
        <v>191520.46</v>
      </c>
      <c r="F114" s="86">
        <v>42643</v>
      </c>
      <c r="G114" s="123" t="s">
        <v>361</v>
      </c>
    </row>
    <row r="115" spans="1:6" ht="12.75">
      <c r="A115" s="5"/>
      <c r="B115" s="126"/>
      <c r="C115" s="126"/>
      <c r="D115" s="126"/>
      <c r="E115" s="126"/>
      <c r="F115" s="5"/>
    </row>
    <row r="116" spans="1:6" ht="12.75">
      <c r="A116" s="125" t="s">
        <v>88</v>
      </c>
      <c r="B116" s="126"/>
      <c r="C116" s="126"/>
      <c r="D116" s="126"/>
      <c r="E116" s="126"/>
      <c r="F116" s="5"/>
    </row>
    <row r="117" spans="1:6" ht="12.75">
      <c r="A117" s="5" t="s">
        <v>163</v>
      </c>
      <c r="B117" s="126">
        <v>20000</v>
      </c>
      <c r="C117" s="126">
        <v>11712.14</v>
      </c>
      <c r="D117" s="126">
        <v>0</v>
      </c>
      <c r="E117" s="126">
        <f>B117+C117+D117</f>
        <v>31712.14</v>
      </c>
      <c r="F117" s="86">
        <v>42633</v>
      </c>
    </row>
    <row r="118" spans="1:6" ht="12.75">
      <c r="A118" s="5"/>
      <c r="B118" s="126"/>
      <c r="C118" s="126"/>
      <c r="D118" s="126"/>
      <c r="E118" s="126"/>
      <c r="F118" s="5"/>
    </row>
    <row r="119" spans="1:8" ht="12.75">
      <c r="A119" s="125" t="s">
        <v>164</v>
      </c>
      <c r="B119" s="126"/>
      <c r="C119" s="126"/>
      <c r="D119" s="126"/>
      <c r="E119" s="126"/>
      <c r="F119" s="5"/>
      <c r="H119" s="12" t="s">
        <v>241</v>
      </c>
    </row>
    <row r="120" spans="1:10" ht="12.75">
      <c r="A120" s="127" t="s">
        <v>165</v>
      </c>
      <c r="B120" s="126">
        <f>4355.82*H120</f>
        <v>23760.083377799998</v>
      </c>
      <c r="C120" s="126">
        <f>262.37*H120</f>
        <v>1431.1732523</v>
      </c>
      <c r="D120" s="126">
        <v>0</v>
      </c>
      <c r="E120" s="126">
        <f>+B120+C120+D120</f>
        <v>25191.256630099997</v>
      </c>
      <c r="F120" s="86">
        <v>42643</v>
      </c>
      <c r="G120" s="138"/>
      <c r="H120" s="138">
        <v>5.45479</v>
      </c>
      <c r="I120" s="3"/>
      <c r="J120" s="3"/>
    </row>
    <row r="121" spans="1:10" ht="12.75">
      <c r="A121" s="127" t="s">
        <v>166</v>
      </c>
      <c r="B121" s="126">
        <v>45831.5</v>
      </c>
      <c r="C121" s="126">
        <v>12166.11</v>
      </c>
      <c r="D121" s="126"/>
      <c r="E121" s="126">
        <f>B121+C121+D121</f>
        <v>57997.61</v>
      </c>
      <c r="F121" s="86">
        <v>42643</v>
      </c>
      <c r="G121" s="139">
        <f>B120*G120</f>
        <v>0</v>
      </c>
      <c r="I121" s="3"/>
      <c r="J121" s="3"/>
    </row>
    <row r="122" spans="1:7" ht="12.75">
      <c r="A122" s="5"/>
      <c r="B122" s="126"/>
      <c r="C122" s="126"/>
      <c r="D122" s="126"/>
      <c r="E122" s="126"/>
      <c r="F122" s="86"/>
      <c r="G122" s="139"/>
    </row>
    <row r="123" spans="1:7" ht="12.75">
      <c r="A123" s="125" t="s">
        <v>341</v>
      </c>
      <c r="B123" s="126"/>
      <c r="C123" s="126"/>
      <c r="D123" s="126"/>
      <c r="E123" s="126"/>
      <c r="F123" s="86"/>
      <c r="G123" s="139"/>
    </row>
    <row r="124" spans="1:7" ht="12.75">
      <c r="A124" s="1" t="s">
        <v>351</v>
      </c>
      <c r="B124" s="126">
        <v>20592</v>
      </c>
      <c r="C124" s="126">
        <v>27565.96</v>
      </c>
      <c r="D124" s="126">
        <v>0</v>
      </c>
      <c r="E124" s="126">
        <f>B124+C124+D124</f>
        <v>48157.96</v>
      </c>
      <c r="F124" s="86">
        <v>42643</v>
      </c>
      <c r="G124" s="139"/>
    </row>
    <row r="125" spans="1:7" ht="12.75">
      <c r="A125" s="5"/>
      <c r="B125" s="126"/>
      <c r="C125" s="126"/>
      <c r="D125" s="126"/>
      <c r="E125" s="126"/>
      <c r="F125" s="86"/>
      <c r="G125" s="139"/>
    </row>
    <row r="126" spans="1:6" ht="12.75">
      <c r="A126" s="125" t="s">
        <v>89</v>
      </c>
      <c r="B126" s="126"/>
      <c r="C126" s="126"/>
      <c r="D126" s="126"/>
      <c r="E126" s="126"/>
      <c r="F126" s="5"/>
    </row>
    <row r="127" spans="1:6" ht="12.75">
      <c r="A127" s="5" t="s">
        <v>167</v>
      </c>
      <c r="B127" s="126">
        <v>18867.92</v>
      </c>
      <c r="C127" s="126">
        <v>1866.42</v>
      </c>
      <c r="D127" s="126">
        <v>0</v>
      </c>
      <c r="E127" s="126">
        <f>B127+C127+D127</f>
        <v>20734.339999999997</v>
      </c>
      <c r="F127" s="86">
        <v>42633</v>
      </c>
    </row>
    <row r="128" spans="1:7" ht="12.75">
      <c r="A128" s="1" t="s">
        <v>372</v>
      </c>
      <c r="B128" s="126">
        <v>71101.84</v>
      </c>
      <c r="C128" s="126">
        <v>31912.52</v>
      </c>
      <c r="D128" s="126">
        <v>0</v>
      </c>
      <c r="E128" s="126">
        <f>B128+C128</f>
        <v>103014.36</v>
      </c>
      <c r="F128" s="86">
        <v>42643</v>
      </c>
      <c r="G128" s="123">
        <v>800011292</v>
      </c>
    </row>
    <row r="129" spans="1:6" ht="12.75">
      <c r="A129" s="5" t="s">
        <v>168</v>
      </c>
      <c r="B129" s="126">
        <v>38913.89</v>
      </c>
      <c r="C129" s="126">
        <v>21435.47</v>
      </c>
      <c r="D129" s="126">
        <v>0</v>
      </c>
      <c r="E129" s="126">
        <f>B129+C129+D129</f>
        <v>60349.36</v>
      </c>
      <c r="F129" s="86">
        <v>42633</v>
      </c>
    </row>
    <row r="130" spans="1:6" ht="12.75">
      <c r="A130" s="5"/>
      <c r="B130" s="63"/>
      <c r="C130" s="63"/>
      <c r="D130" s="63"/>
      <c r="E130" s="63"/>
      <c r="F130" s="5"/>
    </row>
    <row r="131" spans="1:6" ht="12.75">
      <c r="A131" s="125" t="s">
        <v>169</v>
      </c>
      <c r="B131" s="126"/>
      <c r="C131" s="126"/>
      <c r="D131" s="126"/>
      <c r="E131" s="126"/>
      <c r="F131" s="5"/>
    </row>
    <row r="132" spans="1:6" ht="12.75">
      <c r="A132" s="5" t="s">
        <v>170</v>
      </c>
      <c r="B132" s="126">
        <v>343639</v>
      </c>
      <c r="C132" s="126">
        <v>741417.3</v>
      </c>
      <c r="D132" s="126">
        <v>0</v>
      </c>
      <c r="E132" s="126">
        <f>B132+C132</f>
        <v>1085056.3</v>
      </c>
      <c r="F132" s="86">
        <v>42643</v>
      </c>
    </row>
    <row r="133" spans="1:6" ht="12.75">
      <c r="A133" s="5"/>
      <c r="B133" s="63"/>
      <c r="C133" s="63"/>
      <c r="D133" s="63"/>
      <c r="E133" s="63"/>
      <c r="F133" s="5"/>
    </row>
    <row r="134" spans="1:6" ht="12.75">
      <c r="A134" s="125" t="s">
        <v>171</v>
      </c>
      <c r="B134" s="126"/>
      <c r="D134" s="126"/>
      <c r="F134" s="5"/>
    </row>
    <row r="135" spans="1:7" ht="12.75">
      <c r="A135" s="127" t="s">
        <v>172</v>
      </c>
      <c r="B135" s="126">
        <v>405894.12</v>
      </c>
      <c r="C135" s="126">
        <v>392531.4</v>
      </c>
      <c r="D135" s="126">
        <v>6805.85</v>
      </c>
      <c r="E135" s="126">
        <f>B135+C135+D135</f>
        <v>805231.37</v>
      </c>
      <c r="F135" s="86">
        <v>42643</v>
      </c>
      <c r="G135" s="139"/>
    </row>
    <row r="136" spans="1:7" ht="12.75">
      <c r="A136" s="127" t="s">
        <v>173</v>
      </c>
      <c r="B136" s="126">
        <v>81400</v>
      </c>
      <c r="C136" s="126">
        <v>284002.75</v>
      </c>
      <c r="D136" s="126">
        <v>0</v>
      </c>
      <c r="E136" s="126">
        <f>B136+C136</f>
        <v>365402.75</v>
      </c>
      <c r="F136" s="86">
        <v>42643</v>
      </c>
      <c r="G136" s="322"/>
    </row>
    <row r="137" spans="1:6" ht="12.75">
      <c r="A137" s="5"/>
      <c r="B137" s="126"/>
      <c r="C137" s="126"/>
      <c r="D137" s="126"/>
      <c r="E137" s="126"/>
      <c r="F137" s="5"/>
    </row>
    <row r="138" spans="1:6" ht="12.75">
      <c r="A138" s="125" t="s">
        <v>174</v>
      </c>
      <c r="B138" s="126"/>
      <c r="D138" s="126"/>
      <c r="E138" s="126"/>
      <c r="F138" s="5"/>
    </row>
    <row r="139" spans="1:6" ht="12.75">
      <c r="A139" s="127" t="s">
        <v>410</v>
      </c>
      <c r="B139" s="126">
        <v>4293757</v>
      </c>
      <c r="C139" s="126">
        <v>366207.3</v>
      </c>
      <c r="D139" s="126">
        <v>0</v>
      </c>
      <c r="E139" s="126">
        <f>B139+C139+D139</f>
        <v>4659964.3</v>
      </c>
      <c r="F139" s="86">
        <v>42643</v>
      </c>
    </row>
    <row r="140" spans="1:7" ht="13.5">
      <c r="A140" s="127" t="s">
        <v>428</v>
      </c>
      <c r="B140" s="126">
        <v>0</v>
      </c>
      <c r="C140" s="126">
        <v>159434.25</v>
      </c>
      <c r="D140" s="126">
        <v>0</v>
      </c>
      <c r="E140" s="126">
        <f>B140+C140</f>
        <v>159434.25</v>
      </c>
      <c r="F140" s="86">
        <v>42643</v>
      </c>
      <c r="G140" s="140"/>
    </row>
    <row r="141" spans="1:7" ht="13.5">
      <c r="A141" s="5"/>
      <c r="B141" s="126"/>
      <c r="C141" s="126"/>
      <c r="D141" s="126"/>
      <c r="E141" s="126"/>
      <c r="F141" s="86"/>
      <c r="G141" s="140"/>
    </row>
    <row r="142" spans="1:6" ht="12.75">
      <c r="A142" s="125" t="s">
        <v>176</v>
      </c>
      <c r="B142" s="126"/>
      <c r="C142" s="126"/>
      <c r="D142" s="126"/>
      <c r="E142" s="126"/>
      <c r="F142" s="5"/>
    </row>
    <row r="143" spans="1:8" s="5" customFormat="1" ht="12.75">
      <c r="A143" s="5" t="s">
        <v>177</v>
      </c>
      <c r="B143" s="126">
        <v>13640.87</v>
      </c>
      <c r="C143" s="126">
        <v>7556.4</v>
      </c>
      <c r="D143" s="126">
        <v>0</v>
      </c>
      <c r="E143" s="126">
        <f>B143+C143+D143</f>
        <v>21197.27</v>
      </c>
      <c r="F143" s="86">
        <v>42633</v>
      </c>
      <c r="G143" s="123"/>
      <c r="H143" s="63"/>
    </row>
    <row r="144" spans="1:8" s="5" customFormat="1" ht="12.75">
      <c r="A144" s="127" t="s">
        <v>178</v>
      </c>
      <c r="B144" s="126">
        <v>28846.15</v>
      </c>
      <c r="C144" s="126">
        <v>23275.96</v>
      </c>
      <c r="D144" s="126">
        <v>0</v>
      </c>
      <c r="E144" s="126">
        <f>B144+C144+D144</f>
        <v>52122.11</v>
      </c>
      <c r="F144" s="86">
        <v>42633</v>
      </c>
      <c r="G144" s="123"/>
      <c r="H144" s="63"/>
    </row>
    <row r="145" spans="1:6" ht="12.75">
      <c r="A145" s="5"/>
      <c r="B145" s="126"/>
      <c r="C145" s="126"/>
      <c r="D145" s="126"/>
      <c r="E145" s="126"/>
      <c r="F145" s="5"/>
    </row>
    <row r="146" spans="1:6" ht="12.75">
      <c r="A146" s="125" t="s">
        <v>335</v>
      </c>
      <c r="B146" s="126"/>
      <c r="C146" s="126"/>
      <c r="D146" s="126"/>
      <c r="E146" s="126"/>
      <c r="F146" s="5"/>
    </row>
    <row r="147" spans="1:6" ht="12.75">
      <c r="A147" s="1" t="s">
        <v>345</v>
      </c>
      <c r="B147" s="126">
        <v>26475</v>
      </c>
      <c r="C147" s="126">
        <v>35441.97</v>
      </c>
      <c r="D147" s="126">
        <v>0</v>
      </c>
      <c r="E147" s="126">
        <f>B147+C147+D147</f>
        <v>61916.97</v>
      </c>
      <c r="F147" s="86">
        <v>42643</v>
      </c>
    </row>
    <row r="148" spans="1:6" ht="12.75">
      <c r="A148" s="5"/>
      <c r="B148" s="126"/>
      <c r="C148" s="126"/>
      <c r="D148" s="126"/>
      <c r="E148" s="126"/>
      <c r="F148" s="5"/>
    </row>
    <row r="149" spans="1:6" ht="12.75">
      <c r="A149" s="125" t="s">
        <v>179</v>
      </c>
      <c r="B149" s="126"/>
      <c r="C149" s="126"/>
      <c r="D149" s="126"/>
      <c r="E149" s="126"/>
      <c r="F149" s="5"/>
    </row>
    <row r="150" spans="1:6" ht="12.75">
      <c r="A150" s="5" t="s">
        <v>180</v>
      </c>
      <c r="B150" s="126">
        <v>26825.4</v>
      </c>
      <c r="C150" s="126">
        <v>14860</v>
      </c>
      <c r="D150" s="126">
        <v>0</v>
      </c>
      <c r="E150" s="126">
        <f>B150+C150+D150</f>
        <v>41685.4</v>
      </c>
      <c r="F150" s="271">
        <v>42633</v>
      </c>
    </row>
    <row r="151" spans="1:6" ht="12.75">
      <c r="A151" s="5"/>
      <c r="B151" s="126"/>
      <c r="C151" s="126"/>
      <c r="D151" s="126"/>
      <c r="E151" s="126"/>
      <c r="F151" s="5"/>
    </row>
    <row r="152" spans="1:6" ht="12.75">
      <c r="A152" s="125" t="s">
        <v>90</v>
      </c>
      <c r="B152" s="126"/>
      <c r="C152" s="126"/>
      <c r="D152" s="126"/>
      <c r="E152" s="126"/>
      <c r="F152" s="5"/>
    </row>
    <row r="153" spans="1:8" s="129" customFormat="1" ht="12.75">
      <c r="A153" s="129" t="s">
        <v>181</v>
      </c>
      <c r="B153" s="131">
        <v>289630.43</v>
      </c>
      <c r="C153" s="131">
        <v>60369.57</v>
      </c>
      <c r="D153" s="131">
        <v>0</v>
      </c>
      <c r="E153" s="131">
        <f>B153+C153+D153</f>
        <v>350000</v>
      </c>
      <c r="F153" s="323">
        <v>42646</v>
      </c>
      <c r="G153" s="320"/>
      <c r="H153" s="132"/>
    </row>
    <row r="154" spans="1:6" ht="12.75">
      <c r="A154" s="324" t="s">
        <v>396</v>
      </c>
      <c r="B154" s="126">
        <v>84959</v>
      </c>
      <c r="C154" s="126">
        <v>1108367.4</v>
      </c>
      <c r="D154" s="126">
        <v>0</v>
      </c>
      <c r="E154" s="126">
        <f>B154+C154+D154</f>
        <v>1193326.4</v>
      </c>
      <c r="F154" s="325">
        <v>42643</v>
      </c>
    </row>
    <row r="156" spans="1:6" ht="12.75">
      <c r="A156" s="5"/>
      <c r="B156" s="126"/>
      <c r="C156" s="126"/>
      <c r="D156" s="126"/>
      <c r="E156" s="126"/>
      <c r="F156" s="78"/>
    </row>
    <row r="157" spans="1:6" ht="12.75">
      <c r="A157" s="125" t="s">
        <v>182</v>
      </c>
      <c r="B157" s="126"/>
      <c r="C157" s="126"/>
      <c r="D157" s="126"/>
      <c r="E157" s="126"/>
      <c r="F157" s="78"/>
    </row>
    <row r="158" spans="1:8" s="5" customFormat="1" ht="12.75">
      <c r="A158" s="5" t="s">
        <v>183</v>
      </c>
      <c r="B158" s="126">
        <v>26620.37</v>
      </c>
      <c r="C158" s="126">
        <v>14641.1</v>
      </c>
      <c r="D158" s="126">
        <v>0</v>
      </c>
      <c r="E158" s="126">
        <f>B158+C158+D158</f>
        <v>41261.47</v>
      </c>
      <c r="F158" s="86">
        <v>42633</v>
      </c>
      <c r="G158" s="123"/>
      <c r="H158" s="63"/>
    </row>
    <row r="159" ht="12.75">
      <c r="C159" s="3"/>
    </row>
    <row r="160" spans="1:3" ht="12.75">
      <c r="A160" s="125" t="s">
        <v>184</v>
      </c>
      <c r="C160" s="3"/>
    </row>
    <row r="161" spans="1:7" ht="12.75">
      <c r="A161" s="5" t="s">
        <v>185</v>
      </c>
      <c r="B161" s="126">
        <v>374400</v>
      </c>
      <c r="C161" s="126">
        <v>844806.76</v>
      </c>
      <c r="D161" s="126">
        <v>0</v>
      </c>
      <c r="E161" s="3">
        <f>B161+C161+D161</f>
        <v>1219206.76</v>
      </c>
      <c r="F161" s="271">
        <v>42643</v>
      </c>
      <c r="G161" s="123" t="s">
        <v>186</v>
      </c>
    </row>
    <row r="162" ht="12.75">
      <c r="C162" s="3"/>
    </row>
    <row r="163" spans="1:7" ht="13.5">
      <c r="A163" s="125" t="s">
        <v>187</v>
      </c>
      <c r="B163" s="126"/>
      <c r="C163" s="126"/>
      <c r="D163" s="126"/>
      <c r="E163" s="126"/>
      <c r="F163" s="5"/>
      <c r="G163" s="140"/>
    </row>
    <row r="164" spans="1:8" ht="13.5">
      <c r="A164" s="5" t="s">
        <v>188</v>
      </c>
      <c r="B164" s="126">
        <v>610080</v>
      </c>
      <c r="C164" s="126">
        <v>119923.15</v>
      </c>
      <c r="D164" s="126">
        <v>0</v>
      </c>
      <c r="E164" s="126">
        <f>B164+C164</f>
        <v>730003.15</v>
      </c>
      <c r="F164" s="86">
        <v>42643</v>
      </c>
      <c r="G164" s="326"/>
      <c r="H164" s="326"/>
    </row>
    <row r="165" spans="1:8" ht="13.5">
      <c r="A165" s="5" t="s">
        <v>189</v>
      </c>
      <c r="B165" s="126">
        <v>108457.2</v>
      </c>
      <c r="C165" s="126">
        <v>69445.28</v>
      </c>
      <c r="D165" s="126">
        <v>800.39</v>
      </c>
      <c r="E165" s="126">
        <f>B165+C165+D165</f>
        <v>178702.87</v>
      </c>
      <c r="F165" s="86">
        <v>42643</v>
      </c>
      <c r="G165" s="326"/>
      <c r="H165" s="326"/>
    </row>
    <row r="167" ht="12.75">
      <c r="A167" s="125" t="s">
        <v>190</v>
      </c>
    </row>
    <row r="168" spans="1:6" ht="12.75">
      <c r="A168" s="5" t="s">
        <v>191</v>
      </c>
      <c r="B168" s="63">
        <v>13888.89</v>
      </c>
      <c r="C168" s="63">
        <v>7966.6</v>
      </c>
      <c r="D168" s="126">
        <v>0</v>
      </c>
      <c r="E168" s="63">
        <f>B168+C168+D168</f>
        <v>21855.489999999998</v>
      </c>
      <c r="F168" s="86">
        <v>42633</v>
      </c>
    </row>
    <row r="170" ht="12.75">
      <c r="A170" s="125" t="s">
        <v>271</v>
      </c>
    </row>
    <row r="171" spans="1:6" ht="12.75">
      <c r="A171" s="1" t="s">
        <v>356</v>
      </c>
      <c r="B171" s="63">
        <v>169916.2</v>
      </c>
      <c r="C171" s="63">
        <v>284258.75</v>
      </c>
      <c r="D171" s="63">
        <v>0</v>
      </c>
      <c r="E171" s="63">
        <f>B171+C171+D171</f>
        <v>454174.95</v>
      </c>
      <c r="F171" s="112">
        <v>42643</v>
      </c>
    </row>
    <row r="173" spans="1:6" ht="12.75">
      <c r="A173" s="125" t="s">
        <v>92</v>
      </c>
      <c r="B173" s="126"/>
      <c r="C173" s="126"/>
      <c r="D173" s="126"/>
      <c r="E173" s="126"/>
      <c r="F173" s="5"/>
    </row>
    <row r="174" spans="1:8" ht="12.75">
      <c r="A174" s="5" t="s">
        <v>192</v>
      </c>
      <c r="B174" s="126">
        <v>32855.39</v>
      </c>
      <c r="C174" s="126">
        <v>12198.55</v>
      </c>
      <c r="D174" s="126">
        <v>0</v>
      </c>
      <c r="E174" s="126">
        <f>B174+C174+D174</f>
        <v>45053.94</v>
      </c>
      <c r="F174" s="86">
        <v>42625</v>
      </c>
      <c r="H174" s="316"/>
    </row>
    <row r="175" spans="1:6" ht="12.75">
      <c r="A175" s="5"/>
      <c r="B175" s="54"/>
      <c r="C175" s="54"/>
      <c r="D175" s="54"/>
      <c r="E175" s="54"/>
      <c r="F175" s="5"/>
    </row>
    <row r="176" spans="1:6" ht="15" customHeight="1">
      <c r="A176" s="125" t="s">
        <v>91</v>
      </c>
      <c r="B176" s="54"/>
      <c r="C176" s="54"/>
      <c r="D176" s="54"/>
      <c r="E176" s="54"/>
      <c r="F176" s="5"/>
    </row>
    <row r="177" spans="1:6" ht="12.75">
      <c r="A177" s="5" t="s">
        <v>193</v>
      </c>
      <c r="B177" s="54">
        <v>10700.11</v>
      </c>
      <c r="C177" s="54">
        <v>6007.27</v>
      </c>
      <c r="D177" s="54">
        <v>0</v>
      </c>
      <c r="E177" s="54">
        <f>B177+C177+D177</f>
        <v>16707.38</v>
      </c>
      <c r="F177" s="86">
        <v>42633</v>
      </c>
    </row>
    <row r="178" spans="1:6" ht="12.75">
      <c r="A178" s="5" t="s">
        <v>194</v>
      </c>
      <c r="B178" s="54">
        <v>16211.12</v>
      </c>
      <c r="C178" s="54">
        <v>9106.11</v>
      </c>
      <c r="D178" s="54">
        <v>0</v>
      </c>
      <c r="E178" s="54">
        <f>B178+C178+D178</f>
        <v>25317.230000000003</v>
      </c>
      <c r="F178" s="86">
        <v>42633</v>
      </c>
    </row>
    <row r="179" spans="1:6" ht="12.75">
      <c r="A179" s="5" t="s">
        <v>195</v>
      </c>
      <c r="B179" s="54">
        <v>28611.11</v>
      </c>
      <c r="C179" s="54">
        <v>14659.22</v>
      </c>
      <c r="D179" s="54"/>
      <c r="E179" s="54">
        <f>B179+C179+D179</f>
        <v>43270.33</v>
      </c>
      <c r="F179" s="86">
        <v>42633</v>
      </c>
    </row>
    <row r="180" spans="1:6" ht="12.75">
      <c r="A180" s="5"/>
      <c r="B180" s="54"/>
      <c r="C180" s="54"/>
      <c r="D180" s="54"/>
      <c r="E180" s="54"/>
      <c r="F180" s="86"/>
    </row>
    <row r="181" spans="1:6" ht="12.75">
      <c r="A181" s="125" t="s">
        <v>196</v>
      </c>
      <c r="B181" s="54"/>
      <c r="C181" s="54"/>
      <c r="D181" s="54"/>
      <c r="E181" s="54"/>
      <c r="F181" s="86"/>
    </row>
    <row r="182" spans="1:6" ht="12.75">
      <c r="A182" s="127" t="s">
        <v>197</v>
      </c>
      <c r="B182" s="54">
        <v>13205.13</v>
      </c>
      <c r="C182" s="54">
        <v>10652.28</v>
      </c>
      <c r="D182" s="54">
        <v>0</v>
      </c>
      <c r="E182" s="54">
        <f>B182+C182+D182</f>
        <v>23857.41</v>
      </c>
      <c r="F182" s="86">
        <v>42633</v>
      </c>
    </row>
    <row r="183" spans="1:6" ht="12.75">
      <c r="A183" s="5"/>
      <c r="B183" s="54"/>
      <c r="C183" s="54"/>
      <c r="D183" s="54"/>
      <c r="E183" s="54"/>
      <c r="F183" s="86"/>
    </row>
    <row r="184" spans="1:6" ht="12.75">
      <c r="A184" s="125" t="s">
        <v>93</v>
      </c>
      <c r="F184" s="5"/>
    </row>
    <row r="185" spans="1:6" ht="12.75">
      <c r="A185" s="5" t="s">
        <v>198</v>
      </c>
      <c r="B185" s="54">
        <v>53148.14</v>
      </c>
      <c r="C185" s="63">
        <v>29441.57</v>
      </c>
      <c r="D185" s="54">
        <v>0</v>
      </c>
      <c r="E185" s="141">
        <f>B185+C185+D185</f>
        <v>82589.70999999999</v>
      </c>
      <c r="F185" s="271">
        <v>42633</v>
      </c>
    </row>
    <row r="186" spans="1:6" ht="12.75">
      <c r="A186" s="5"/>
      <c r="B186" s="63"/>
      <c r="C186" s="63"/>
      <c r="E186" s="141"/>
      <c r="F186" s="86"/>
    </row>
    <row r="187" spans="1:6" ht="12.75">
      <c r="A187" s="125" t="s">
        <v>94</v>
      </c>
      <c r="B187" s="63"/>
      <c r="C187" s="63"/>
      <c r="E187" s="141"/>
      <c r="F187" s="86"/>
    </row>
    <row r="188" spans="1:6" ht="12.75">
      <c r="A188" s="5" t="s">
        <v>199</v>
      </c>
      <c r="B188" s="63">
        <v>36666.67</v>
      </c>
      <c r="C188" s="63">
        <v>19420.88</v>
      </c>
      <c r="D188" s="54">
        <v>0</v>
      </c>
      <c r="E188" s="141">
        <f>B188+C188+D188</f>
        <v>56087.55</v>
      </c>
      <c r="F188" s="86">
        <v>42618</v>
      </c>
    </row>
    <row r="189" ht="12.75">
      <c r="B189" s="3"/>
    </row>
    <row r="190" ht="12.75">
      <c r="A190" s="125" t="s">
        <v>200</v>
      </c>
    </row>
    <row r="191" spans="1:6" ht="12.75">
      <c r="A191" s="127" t="s">
        <v>201</v>
      </c>
      <c r="B191" s="54">
        <v>19212.96</v>
      </c>
      <c r="C191" s="63">
        <v>10567.05</v>
      </c>
      <c r="D191" s="54">
        <v>0</v>
      </c>
      <c r="E191" s="63">
        <f>B191+C191+D191</f>
        <v>29780.01</v>
      </c>
      <c r="F191" s="86">
        <v>42633</v>
      </c>
    </row>
    <row r="192" spans="1:6" ht="12.75">
      <c r="A192" s="127"/>
      <c r="B192" s="54"/>
      <c r="C192" s="63"/>
      <c r="D192" s="54"/>
      <c r="E192" s="63"/>
      <c r="F192" s="86"/>
    </row>
    <row r="193" spans="1:6" ht="12.75">
      <c r="A193" s="125" t="s">
        <v>202</v>
      </c>
      <c r="B193" s="54"/>
      <c r="C193" s="63"/>
      <c r="D193" s="54"/>
      <c r="E193" s="63"/>
      <c r="F193" s="86"/>
    </row>
    <row r="194" spans="1:6" ht="12.75">
      <c r="A194" s="1" t="s">
        <v>203</v>
      </c>
      <c r="B194" s="3">
        <v>44871.79</v>
      </c>
      <c r="C194" s="3">
        <v>36454.49</v>
      </c>
      <c r="D194" s="54">
        <v>0</v>
      </c>
      <c r="E194" s="63">
        <f>B194+C194+D194</f>
        <v>81326.28</v>
      </c>
      <c r="F194" s="112">
        <v>42633</v>
      </c>
    </row>
    <row r="195" ht="12.75">
      <c r="A195" s="127"/>
    </row>
    <row r="196" spans="1:5" ht="12.75">
      <c r="A196" s="78" t="s">
        <v>19</v>
      </c>
      <c r="B196" s="79">
        <f>SUM(B4:B195)</f>
        <v>22419492.073377803</v>
      </c>
      <c r="C196" s="79">
        <f>SUM(C4:C195)</f>
        <v>25401873.0832523</v>
      </c>
      <c r="D196" s="79">
        <f>SUM(D4:D195)</f>
        <v>7606.240000000001</v>
      </c>
      <c r="E196" s="79">
        <f>SUM(E4:E195)</f>
        <v>47828971.396630086</v>
      </c>
    </row>
    <row r="199" ht="12.75">
      <c r="B199" s="3"/>
    </row>
    <row r="206" ht="12.75">
      <c r="E206" s="3"/>
    </row>
    <row r="210" ht="12.75">
      <c r="B210" s="142"/>
    </row>
  </sheetData>
  <sheetProtection/>
  <mergeCells count="2">
    <mergeCell ref="D1:D2"/>
    <mergeCell ref="E1:E2"/>
  </mergeCells>
  <printOptions horizontalCentered="1"/>
  <pageMargins left="0.7480314960629921" right="0.7480314960629921" top="1.6535433070866143" bottom="0.7086614173228347" header="0" footer="0"/>
  <pageSetup fitToHeight="6" fitToWidth="1" horizontalDpi="600" verticalDpi="600" orientation="landscape" scale="97" r:id="rId2"/>
  <headerFooter alignWithMargins="0">
    <oddHeader>&amp;L&amp;G&amp;C&amp;"Arial,Negrita"GOBIERNO DEL ESTADO DE SONORA
DIRECCIÓN DE CRÉDITO PÚBLICO
RELACIÓN DE DEUDA MUNICIPIOS NO AVALADOS 
SEPTIEMBRE 2016</oddHeader>
    <oddFooter>&amp;CPágina &amp;P de &amp;N</oddFooter>
  </headerFooter>
  <rowBreaks count="1" manualBreakCount="1">
    <brk id="44" max="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5"/>
  <sheetViews>
    <sheetView view="pageBreakPreview" zoomScaleSheetLayoutView="100" workbookViewId="0" topLeftCell="A90">
      <selection activeCell="A94" sqref="A94"/>
    </sheetView>
  </sheetViews>
  <sheetFormatPr defaultColWidth="11.421875" defaultRowHeight="12.75"/>
  <cols>
    <col min="1" max="1" width="49.57421875" style="1" customWidth="1"/>
    <col min="2" max="2" width="22.8515625" style="68" bestFit="1" customWidth="1"/>
    <col min="3" max="3" width="12.421875" style="1" customWidth="1"/>
    <col min="4" max="4" width="14.421875" style="1" bestFit="1" customWidth="1"/>
    <col min="5" max="5" width="21.28125" style="1" customWidth="1"/>
    <col min="6" max="6" width="13.7109375" style="144" customWidth="1"/>
    <col min="7" max="7" width="16.421875" style="63" customWidth="1"/>
    <col min="8" max="8" width="16.8515625" style="63" customWidth="1"/>
    <col min="9" max="9" width="14.421875" style="1" bestFit="1" customWidth="1"/>
    <col min="10" max="10" width="11.57421875" style="1" customWidth="1"/>
    <col min="11" max="11" width="11.8515625" style="1" bestFit="1" customWidth="1"/>
    <col min="12" max="16384" width="11.421875" style="1" customWidth="1"/>
  </cols>
  <sheetData>
    <row r="1" spans="2:5" ht="25.5" customHeight="1">
      <c r="B1" s="368" t="s">
        <v>37</v>
      </c>
      <c r="C1" s="374" t="s">
        <v>204</v>
      </c>
      <c r="D1" s="400" t="s">
        <v>205</v>
      </c>
      <c r="E1" s="143" t="s">
        <v>97</v>
      </c>
    </row>
    <row r="2" spans="1:5" ht="13.5">
      <c r="A2" s="120"/>
      <c r="B2" s="399"/>
      <c r="C2" s="399"/>
      <c r="D2" s="401"/>
      <c r="E2" s="145">
        <v>42643</v>
      </c>
    </row>
    <row r="3" spans="1:5" ht="13.5">
      <c r="A3" s="120"/>
      <c r="B3" s="369"/>
      <c r="C3" s="369"/>
      <c r="D3" s="402"/>
      <c r="E3" s="58" t="s">
        <v>22</v>
      </c>
    </row>
    <row r="4" spans="1:5" ht="15.75" customHeight="1">
      <c r="A4" s="125" t="s">
        <v>80</v>
      </c>
      <c r="B4" s="146"/>
      <c r="C4" s="14"/>
      <c r="D4" s="14"/>
      <c r="E4" s="146"/>
    </row>
    <row r="5" spans="1:6" ht="13.5">
      <c r="A5" s="5" t="str">
        <f>+'[1] DEUDA MUNICIPIOS NO AVALADOS'!A4</f>
        <v>FFRES-0019-11  3MDP</v>
      </c>
      <c r="B5" s="65" t="s">
        <v>206</v>
      </c>
      <c r="C5" s="147">
        <v>46054</v>
      </c>
      <c r="D5" s="14"/>
      <c r="E5" s="54">
        <f>4606896.51-28090.83-28090.83-28090.83-28090.83-28090.83-28090.83-28090.83-28090.83-26084.34-26084.34-26084.34-26084.34-26084.34-26084.34-26084.34-26084.34-26084.34-0-26084.34-26084.34-0-26084.34-26084.34-26084.34-26084.34-26084.34-26084.34-26084.34-26084.34-26084.34-26084.34-26084.34-26084.34-26084.34-26084.34-26084.34-26084.34-26084.34-26084.34</f>
        <v>3625724.0100000035</v>
      </c>
      <c r="F5" s="148"/>
    </row>
    <row r="6" spans="1:6" ht="13.5">
      <c r="A6" s="5"/>
      <c r="B6" s="65"/>
      <c r="C6" s="147"/>
      <c r="D6" s="14"/>
      <c r="E6" s="54"/>
      <c r="F6" s="148"/>
    </row>
    <row r="7" spans="1:5" ht="13.5">
      <c r="A7" s="125" t="s">
        <v>81</v>
      </c>
      <c r="B7" s="65"/>
      <c r="C7" s="134"/>
      <c r="D7" s="54"/>
      <c r="E7" s="135"/>
    </row>
    <row r="8" spans="1:6" ht="13.5">
      <c r="A8" s="5" t="s">
        <v>103</v>
      </c>
      <c r="B8" s="65">
        <v>4.0091</v>
      </c>
      <c r="C8" s="134">
        <v>45961</v>
      </c>
      <c r="D8" s="54"/>
      <c r="E8" s="126">
        <f>36516145.89-97937.1-98736.58-99136.33-99935.81-100335.56-101135.04-101534.78-102334.27-103133.76-103533.5-104332.99-104732.73-105532.22-106331.7-106731.45-107530.93-108330.42-108730.16-109529.65-110329.14-111128.62-111528.37-112327.85-113127.34-113926.83-114326.57-115126.06-115925.54-116725.03-117524.51-117924.26-118723.74-119523.23-120322.72-121122.2-121921.69-122721.18-123520.66-124320.15-124719.89-125519.38-126318.87-127118.35-127917.84-128717.33-129516.81-130316.3-131115.79-132315.01-133114.5-133913.99-134713.47-135512.96-136312.45-137111.93-137911.42-138710.91-139910.14-140709.62-141509.11-142308.6-143108.08-144307.31-145106.8-145906.29-146705.77-147905-148704.49-149503.97-150703.2-151502.69-152302.18-153501.41-154300.89-155500.12-156299.61-157099.1-158298.33-159097.81-160297.04-161096.53+0.07-162295.76</f>
        <v>26065658.24</v>
      </c>
      <c r="F8" s="148"/>
    </row>
    <row r="9" spans="1:9" ht="12.75">
      <c r="A9" s="5" t="str">
        <f>'[1] DEUDA MUNICIPIOS NO AVALADOS'!A8</f>
        <v>BANSI 30 MDP</v>
      </c>
      <c r="B9" s="327" t="s">
        <v>207</v>
      </c>
      <c r="C9" s="134">
        <v>48791</v>
      </c>
      <c r="D9" s="54"/>
      <c r="E9" s="328">
        <f>30077866-30000-30000-30000-30000-30000-30000-30000-30000-30000-30000-30000-30000-30000-30000-30000-45112-45494-45880-46269-46661-47057-47456-47859-48265-48675-49088-49505-49925-50349-50777-51208-51643-52082-52524-52971</f>
        <v>28649066</v>
      </c>
      <c r="F9" s="329"/>
      <c r="G9" s="63">
        <f>E8+E9+E10+E11+E12+E13+E16+E17</f>
        <v>254803120.81</v>
      </c>
      <c r="I9" s="141"/>
    </row>
    <row r="10" spans="1:9" ht="13.5">
      <c r="A10" s="5" t="str">
        <f>'[1] DEUDA MUNICIPIOS NO AVALADOS'!A9</f>
        <v>BANSI 7 MDP</v>
      </c>
      <c r="B10" s="327" t="s">
        <v>207</v>
      </c>
      <c r="C10" s="134">
        <v>48791</v>
      </c>
      <c r="D10" s="54"/>
      <c r="E10" s="273">
        <f>7000000-9072-9150-9229-9309-9389-9470-9552-9634-9717-9801-9886-9971-10057-10144-10231-10319-10408-10498-10589-10680-10772-10865-10959-11053-11149-11245-11342-11440-11538-11638-11738-11839-11942-12045-12148</f>
        <v>6631181</v>
      </c>
      <c r="F10" s="330"/>
      <c r="I10" s="141"/>
    </row>
    <row r="11" spans="1:6" ht="13.5">
      <c r="A11" s="5" t="str">
        <f>'[1] DEUDA MUNICIPIOS NO AVALADOS'!A10</f>
        <v>INTERACCIONES 70.1 MDP 2013 379849</v>
      </c>
      <c r="B11" s="327" t="s">
        <v>208</v>
      </c>
      <c r="C11" s="134">
        <v>48807</v>
      </c>
      <c r="D11" s="149">
        <v>2104425</v>
      </c>
      <c r="E11" s="126">
        <f>70147500-403950-404209-404468-404727-404987-405247-405506-405766-406027-406287-406548-406808-407069-407330</f>
        <v>64468571</v>
      </c>
      <c r="F11" s="148"/>
    </row>
    <row r="12" spans="1:6" ht="13.5">
      <c r="A12" s="5" t="str">
        <f>'[1] DEUDA MUNICIPIOS NO AVALADOS'!A11</f>
        <v>BANSI 70 MDP 2014</v>
      </c>
      <c r="B12" s="327" t="s">
        <v>209</v>
      </c>
      <c r="C12" s="134">
        <v>49080</v>
      </c>
      <c r="D12" s="54"/>
      <c r="E12" s="126">
        <f>70000000-158000-158000-158000-158000-158000-158000-158000-158000-158000-158000-158000-158000-158000-158000-158000-158000-158000</f>
        <v>67314000</v>
      </c>
      <c r="F12" s="148"/>
    </row>
    <row r="13" spans="1:6" ht="13.5">
      <c r="A13" s="5" t="str">
        <f>'[1] DEUDA MUNICIPIOS NO AVALADOS'!A12</f>
        <v>BANSI 56 MDP 2014</v>
      </c>
      <c r="B13" s="327" t="s">
        <v>209</v>
      </c>
      <c r="C13" s="134">
        <v>49080</v>
      </c>
      <c r="D13" s="54"/>
      <c r="E13" s="126">
        <f>55968000-127000-127000-127000-127000-127000-127000-127000-127000-127000-127000-127000-127000-127000-127000-127000-127000-127000</f>
        <v>53809000</v>
      </c>
      <c r="F13" s="148"/>
    </row>
    <row r="14" spans="1:6" ht="12.75">
      <c r="A14" s="5"/>
      <c r="B14" s="65"/>
      <c r="C14" s="134"/>
      <c r="D14" s="54"/>
      <c r="E14" s="54"/>
      <c r="F14" s="150"/>
    </row>
    <row r="15" spans="1:6" ht="15.75" customHeight="1">
      <c r="A15" s="125" t="s">
        <v>105</v>
      </c>
      <c r="B15" s="65"/>
      <c r="C15" s="134"/>
      <c r="D15" s="54"/>
      <c r="E15" s="54"/>
      <c r="F15" s="151"/>
    </row>
    <row r="16" spans="1:6" ht="14.25" customHeight="1">
      <c r="A16" s="5" t="s">
        <v>106</v>
      </c>
      <c r="B16" s="65" t="s">
        <v>206</v>
      </c>
      <c r="C16" s="134">
        <v>46047</v>
      </c>
      <c r="D16" s="54"/>
      <c r="E16" s="54">
        <f>7000000-41666.67-41666.67-41666.67-41666.67-41666.67-41666.67-41666.67-41666.67-41666.67-41666.67-41666.67+27777.77-38888.89-27777.81-38888.89-38888.89+0.08-38888.89-38888.89-38888.89+30555.69-38888.89-38888.89-38888.89-38888.89-38888.89-38888.89-38888.89-38888.89-35879.63-35879.63-35879.63-35879.63-35879.63-35879.63-35879.63-35879.63-35879.63-35879.63-35879.63-35879.63-35879.63-35879.63-35879.63-35879.63-35879.63-35879.63-35879.63-35879.63-35879.63-35879.63-35879.63-35879.63-35879.63-35879.63-35879.63-35879.63-35879.63-35879.63</f>
        <v>4951389.000000009</v>
      </c>
      <c r="F16" s="152"/>
    </row>
    <row r="17" spans="1:9" ht="25.5">
      <c r="A17" s="5" t="s">
        <v>107</v>
      </c>
      <c r="B17" s="65" t="s">
        <v>206</v>
      </c>
      <c r="C17" s="134">
        <v>43557</v>
      </c>
      <c r="D17" s="54"/>
      <c r="E17" s="54">
        <f>10000000-250000-83333.33-83333.33-83333.33-83333.33-83333.33-83333.33-83333.33-83333.33-83333.33-83333.33-83333.33-83333.33-83333.33-92592.59-92592.59-92592.59-0.03-92592.59-92592.59-92592.59-0.01-94315.25-94315.25-215.31-94422.91+215.32-94422.91-29206.49-92592.59-92592.59+0.05-92592.59-94008.23-94008.23-94008.23-188016.46-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</f>
        <v>2914255.5699999873</v>
      </c>
      <c r="F17" s="152" t="s">
        <v>391</v>
      </c>
      <c r="I17" s="141"/>
    </row>
    <row r="18" spans="1:6" ht="12.75">
      <c r="A18" s="5"/>
      <c r="B18" s="65"/>
      <c r="C18" s="134"/>
      <c r="D18" s="54"/>
      <c r="E18" s="54"/>
      <c r="F18" s="152"/>
    </row>
    <row r="19" spans="1:8" ht="13.5">
      <c r="A19" s="125" t="s">
        <v>82</v>
      </c>
      <c r="B19" s="146"/>
      <c r="C19" s="14"/>
      <c r="D19" s="14"/>
      <c r="E19" s="146"/>
      <c r="H19" s="63">
        <f>E20+E21</f>
        <v>2423957.370000004</v>
      </c>
    </row>
    <row r="20" spans="1:6" ht="13.5">
      <c r="A20" s="5" t="s">
        <v>110</v>
      </c>
      <c r="B20" s="65" t="s">
        <v>206</v>
      </c>
      <c r="C20" s="147">
        <v>46054</v>
      </c>
      <c r="D20" s="14"/>
      <c r="E20" s="54">
        <f>3000000-17857.14-17857.14-17857.14-17857.14-17857.14-17857.14-17857.14-17857.14-17857.14-17857.14-17857.14-0.03-16666.67-16666.67-16666.67-16666.67-16666.67-16666.67+13095.19-16666.67-16666.67-16666.67-16666.67-16666.67-16666.66-16666.66-16666.67-16666.67+0.01-16666.67-16666.67-16666.67+0.01-16666.67-16666.67+0.11-16666.67+0.01-0.04-16666.67-16666.67+0.01-16666.67+0.01-16666.67-16666.67-0.08-16666.67-16666.67-16666.67+0.01-16666.67-16666.67-16666.67+0.02-16666.67-16666.67-16666.67-16666.67-16666.67-16666.67-16666.67-16666.67-16666.67-16666.67-16666.67-16666.67+0.03-16666.67-16666.67-16666.67+0.02-16666.67-16666.67-16666.67-16666.67-16666.67-16666.67-16666.67-16666.67</f>
        <v>1899999.9100000008</v>
      </c>
      <c r="F20" s="330" t="s">
        <v>392</v>
      </c>
    </row>
    <row r="21" spans="1:6" ht="13.5">
      <c r="A21" s="5" t="str">
        <f>'[1] DEUDA MUNICIPIOS NO AVALADOS'!A23</f>
        <v>FFRES-0026-11 </v>
      </c>
      <c r="B21" s="65" t="s">
        <v>206</v>
      </c>
      <c r="C21" s="147">
        <v>46370</v>
      </c>
      <c r="D21" s="14"/>
      <c r="E21" s="54">
        <f>766767.03-4564.09-4564.09+304.27-4259.82-4259.82-4259.82-4259.82-4259.82+304.29-4259.82-4259.82-4259.82-4259.82+0.01-4259.82-4259.82-4259.82+0.01-4259.82-4259.82-4259.82+0.01-4259.82-4259.82-4259.82-4259.82-4259.82+0.01-4259.82+0.01-4259.82-4259.82-0.01-4259.82-4259.82-0.01+0.02-4259.82-4259.82-4259.82-4259.82+0.02-4259.82+0.01-4259.82-4259.82-4259.82-4259.82-4259.82-4259.82-4259.82-4259.82-4259.82-4259.82-4259.82-4259.82-4259.82+0.04-4259.82-4259.82-4259.82-4259.82+0.01-4259.82+0.01-4259.82+0.01-4259.82-4259.82-4259.82-4259.82-4259.82-4259.82</f>
        <v>523957.46000000305</v>
      </c>
      <c r="F21" s="330" t="s">
        <v>210</v>
      </c>
    </row>
    <row r="22" spans="2:6" ht="13.5">
      <c r="B22" s="146"/>
      <c r="C22" s="14"/>
      <c r="D22" s="14"/>
      <c r="E22" s="146"/>
      <c r="F22" s="148"/>
    </row>
    <row r="23" spans="1:5" ht="15.75" customHeight="1">
      <c r="A23" s="125" t="s">
        <v>108</v>
      </c>
      <c r="B23" s="146"/>
      <c r="C23" s="14"/>
      <c r="D23" s="14"/>
      <c r="E23" s="146"/>
    </row>
    <row r="24" spans="1:6" ht="13.5">
      <c r="A24" s="5" t="s">
        <v>109</v>
      </c>
      <c r="B24" s="10" t="s">
        <v>206</v>
      </c>
      <c r="C24" s="147">
        <v>46407</v>
      </c>
      <c r="D24" s="14"/>
      <c r="E24" s="153">
        <f>3205000-17805.56-17805.56-17805.56-17805.56-17805.56-17805.56+0.03-17805.56-17805.56-17805.56-17805.56+0.01-17805.56-17805.56-17805.56+0.02-17805.56+0.02-17805.56-0.01-17487.6-17487.6-17487.6-17487.6-17487.6-17487.6-17487.6-17487.6-17487.6-0-17487.6-17487.6-17487.6-17487.6-17487.6-17487.6-17487.6-17487.6-17487.6-17487.6-17487.6-17487.6-17487.6-17487.6-17487.6-17487.6-17487.6-17487.6-17487.6-17487.6</f>
        <v>2430776.2699999963</v>
      </c>
      <c r="F24" s="148"/>
    </row>
    <row r="25" spans="2:5" ht="13.5">
      <c r="B25" s="146"/>
      <c r="C25" s="14"/>
      <c r="D25" s="14"/>
      <c r="E25" s="146"/>
    </row>
    <row r="26" spans="1:5" ht="13.5">
      <c r="A26" s="125" t="str">
        <f>'[1] DEUDA MUNICIPIOS NO AVALADOS'!A25</f>
        <v>BACANORA</v>
      </c>
      <c r="B26" s="146"/>
      <c r="C26" s="14"/>
      <c r="D26" s="14"/>
      <c r="E26" s="146"/>
    </row>
    <row r="27" spans="1:7" ht="13.5">
      <c r="A27" s="1" t="str">
        <f>'[1] DEUDA MUNICIPIOS NO AVALADOS'!A26</f>
        <v>FFRES 0024-11 2MDP</v>
      </c>
      <c r="B27" s="10" t="s">
        <v>206</v>
      </c>
      <c r="C27" s="147">
        <v>46495</v>
      </c>
      <c r="D27" s="14"/>
      <c r="E27" s="54">
        <f>2000000-11111.11-11111.11-11111.11-11111.11-11111.11-11111.11-11111.11-0.01-11111.11-11111.11-11111.11-11111.11-11111.11-11111.11-11111.11-11111.11-0.01-11111.11-11111.11-11111.11-11111.11-11111.11-11111.11-11111.11-11111.11-11111.11-11111.11-11111.11-11111.11-11111.11-11111.11-0.01-11111.11-11111.11-11111.11-11111.11-11111.11-11111.11-11111.11-0.01-11111.11-11111.11-11111.11-11111.11-11111.11</f>
        <v>1544444.4499999958</v>
      </c>
      <c r="F27" s="395"/>
      <c r="G27" s="395"/>
    </row>
    <row r="28" spans="2:5" ht="13.5">
      <c r="B28" s="146"/>
      <c r="C28" s="14"/>
      <c r="D28" s="14"/>
      <c r="E28" s="146"/>
    </row>
    <row r="29" spans="1:5" ht="13.5">
      <c r="A29" s="125" t="s">
        <v>113</v>
      </c>
      <c r="B29" s="146"/>
      <c r="C29" s="14"/>
      <c r="D29" s="14"/>
      <c r="E29" s="146"/>
    </row>
    <row r="30" spans="1:7" ht="13.5">
      <c r="A30" s="5" t="s">
        <v>114</v>
      </c>
      <c r="B30" s="10" t="s">
        <v>206</v>
      </c>
      <c r="C30" s="147">
        <v>46257</v>
      </c>
      <c r="D30" s="14"/>
      <c r="E30" s="54">
        <f>3000000-17857.14-17857.14-17857.14-17857.14-17857.14+4761.88-16666.67-4761.88-16666.67-16666.67-16666.67-16666.67-16666.67+5952.33-16666.67-16666.67-16666.67-16666.67+0.01-16666.67-16666.67-16666.67-16666.67-16666.67+0.02-16666.67-16666.67-16666.67-16666.67+0.01-16666.67-16666.67+0.01-16666.67-16666.67-16666.67-16666.67-16666.67+0.01-16666.67-16666.67+0.01-16666.67-16666.67-16666.67+0.01-16666.67-16666.67-16666.67-16666.67-16666.67-16666.67-16666.67-16666.67-16666.67-16666.67-16666.67-16666.67-16666.67+0.04-16666.67-16666.67-16666.67+0.01-16666.67-16666.67-16666.67-16666.67-16666.67-16666.67-16666.67-16666.67</f>
        <v>1999999.910000002</v>
      </c>
      <c r="F30" s="396" t="s">
        <v>393</v>
      </c>
      <c r="G30" s="396"/>
    </row>
    <row r="31" spans="2:6" ht="13.5">
      <c r="B31" s="146"/>
      <c r="C31" s="14"/>
      <c r="D31" s="14"/>
      <c r="E31" s="146"/>
      <c r="F31" s="148"/>
    </row>
    <row r="32" spans="1:5" ht="13.5">
      <c r="A32" s="125" t="s">
        <v>115</v>
      </c>
      <c r="B32" s="65"/>
      <c r="C32" s="5"/>
      <c r="D32" s="5"/>
      <c r="E32" s="154"/>
    </row>
    <row r="33" spans="1:11" ht="13.5">
      <c r="A33" s="5" t="s">
        <v>211</v>
      </c>
      <c r="B33" s="327" t="s">
        <v>212</v>
      </c>
      <c r="C33" s="134">
        <v>46538</v>
      </c>
      <c r="D33" s="54"/>
      <c r="E33" s="273">
        <f>3621822.81-11998.24-12075.76-12153.77-12232.29-12311.32-12390.85-12470.9-12551.47-12632.56-12714.17-12796.31-12878.98-12962.18-13045.92-13130.2-13215.03-13300.4-13386.33-13472.81-13559.85-13647.45-13735.62-13824.36-13913.67-14003.56-14094.03-14185.08-14276.72-14368.96-14461.79-14555.22-14649.25-14743.89-14839.14-14935.01-15031.49-15128.6-15226.34-15324.71-15423.71-15523.36</f>
        <v>3060651.5099999993</v>
      </c>
      <c r="F33" s="331"/>
      <c r="G33" s="332"/>
      <c r="I33" s="52"/>
      <c r="J33" s="52"/>
      <c r="K33" s="52"/>
    </row>
    <row r="34" spans="1:11" ht="13.5">
      <c r="A34" s="5" t="s">
        <v>116</v>
      </c>
      <c r="B34" s="65" t="s">
        <v>206</v>
      </c>
      <c r="C34" s="134" t="s">
        <v>213</v>
      </c>
      <c r="D34" s="54"/>
      <c r="E34" s="54">
        <f>1500000-8928.57-8928.57-8928.57-8928.57-8928.57-8928.57-8928.57-8928.57-8928.57-8928.57-8928.57-8928.57-8928.57-8928.57-8928.57-8928.57-8928.57-8928.57-8928.57-8928.57-8928.57-8928.57-8928.57-8928.57-8928.57-0.04-8928.57-8928.57-8928.57-8928.57-8928.57-8928.57-8928.57-8928.57-8928.57-0.01-8928.57-8928.57-8928.57-8928.57-8928.57-8928.57-0.01-8928.57-8928.57-8928.57-8928.57-8928.57-8928.57-8928.57-8928.57-8928.57-8928.57-8928.57-8928.57-8928.57-8928.57-8928.57-8928.57-8928.57-8928.57-8928.57-8928.57-8928.57-8928.57-8928.57-0.03-8928.57-8928.57-8928.57-8928.57-0.01-8928.57-8928.57-8928.57-8928.57-8928.57-8928.57-8928.57-8928.57</f>
        <v>830357.1499999979</v>
      </c>
      <c r="F34" s="403"/>
      <c r="G34" s="403"/>
      <c r="H34" s="63">
        <f>E33+E34+E35+E36+E37</f>
        <v>29845345.45</v>
      </c>
      <c r="I34" s="52"/>
      <c r="J34" s="52"/>
      <c r="K34" s="52"/>
    </row>
    <row r="35" spans="1:11" ht="13.5">
      <c r="A35" s="5" t="str">
        <f>'[1] DEUDA MUNICIPIOS NO AVALADOS'!A33</f>
        <v>M0022 BANOBRAS/BACUM 7,5MDP  10584</v>
      </c>
      <c r="B35" s="65" t="s">
        <v>214</v>
      </c>
      <c r="C35" s="134">
        <v>43677</v>
      </c>
      <c r="D35" s="54"/>
      <c r="E35" s="273">
        <f>7500000-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</f>
        <v>2946428.790000002</v>
      </c>
      <c r="F35" s="155"/>
      <c r="G35" s="153"/>
      <c r="I35" s="52"/>
      <c r="J35" s="52"/>
      <c r="K35" s="52"/>
    </row>
    <row r="36" spans="1:11" ht="13.5">
      <c r="A36" s="5" t="str">
        <f>' DEUDA MUNICIPIOS NO AVALADOS'!A35</f>
        <v>INTERACCIONES  2014 </v>
      </c>
      <c r="B36" s="65" t="s">
        <v>215</v>
      </c>
      <c r="C36" s="134">
        <v>45412</v>
      </c>
      <c r="D36" s="54"/>
      <c r="E36" s="235">
        <f>17184088-78892-79917-80956-82007-83075-84154-85248-86357-87479-88616-89769-90936-92118</f>
        <v>16074564</v>
      </c>
      <c r="F36" s="155"/>
      <c r="G36" s="153"/>
      <c r="I36" s="52"/>
      <c r="J36" s="52"/>
      <c r="K36" s="52"/>
    </row>
    <row r="37" spans="1:11" ht="13.5">
      <c r="A37" s="127" t="s">
        <v>117</v>
      </c>
      <c r="B37" s="68" t="s">
        <v>215</v>
      </c>
      <c r="C37" s="104">
        <v>45810</v>
      </c>
      <c r="D37" s="75">
        <v>867000</v>
      </c>
      <c r="E37" s="75">
        <f>7966667-33333-66666-66666-66666-66666-66666-66666-66666-66666-66666-66666-66666-66666-66666-66666-66666</f>
        <v>6933344</v>
      </c>
      <c r="F37" s="155"/>
      <c r="G37" s="156"/>
      <c r="I37" s="52"/>
      <c r="J37" s="52"/>
      <c r="K37" s="52"/>
    </row>
    <row r="38" spans="1:11" ht="13.5">
      <c r="A38" s="127"/>
      <c r="C38" s="104"/>
      <c r="D38" s="75"/>
      <c r="E38" s="75"/>
      <c r="F38" s="155"/>
      <c r="G38" s="156"/>
      <c r="I38" s="52"/>
      <c r="J38" s="52"/>
      <c r="K38" s="52"/>
    </row>
    <row r="39" spans="1:11" ht="13.5">
      <c r="A39" s="125" t="s">
        <v>84</v>
      </c>
      <c r="C39" s="104"/>
      <c r="D39" s="75"/>
      <c r="E39" s="75"/>
      <c r="F39" s="155"/>
      <c r="G39" s="156"/>
      <c r="I39" s="52"/>
      <c r="J39" s="52"/>
      <c r="K39" s="52"/>
    </row>
    <row r="40" spans="1:11" ht="13.5">
      <c r="A40" s="127" t="s">
        <v>353</v>
      </c>
      <c r="B40" s="68" t="s">
        <v>352</v>
      </c>
      <c r="C40" s="104">
        <v>45811</v>
      </c>
      <c r="D40" s="75"/>
      <c r="E40" s="75">
        <f>6000000-31684-31929-32177-32426-32678-32931-33186-33443-33702-33964-34227-34492</f>
        <v>5603161</v>
      </c>
      <c r="F40" s="155"/>
      <c r="G40" s="156"/>
      <c r="I40" s="52"/>
      <c r="J40" s="52"/>
      <c r="K40" s="52"/>
    </row>
    <row r="41" spans="4:11" ht="13.5">
      <c r="D41" s="75"/>
      <c r="E41" s="75"/>
      <c r="F41" s="155"/>
      <c r="G41" s="153"/>
      <c r="I41" s="52"/>
      <c r="J41" s="52"/>
      <c r="K41" s="52"/>
    </row>
    <row r="42" spans="1:11" ht="13.5">
      <c r="A42" s="125" t="s">
        <v>118</v>
      </c>
      <c r="B42" s="65"/>
      <c r="C42" s="134"/>
      <c r="D42" s="54"/>
      <c r="E42" s="54"/>
      <c r="G42" s="157"/>
      <c r="I42" s="126"/>
      <c r="J42" s="126"/>
      <c r="K42" s="126"/>
    </row>
    <row r="43" spans="1:11" ht="13.5">
      <c r="A43" s="5" t="s">
        <v>119</v>
      </c>
      <c r="B43" s="158" t="s">
        <v>216</v>
      </c>
      <c r="C43" s="134">
        <v>43860</v>
      </c>
      <c r="D43" s="54"/>
      <c r="E43" s="273">
        <f>2480625.3-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</f>
        <v>848076.6899999995</v>
      </c>
      <c r="F43" s="148"/>
      <c r="G43" s="157">
        <f>E43+E44+E45</f>
        <v>4391010.919999989</v>
      </c>
      <c r="I43" s="126"/>
      <c r="J43" s="126"/>
      <c r="K43" s="126"/>
    </row>
    <row r="44" spans="1:11" ht="13.5">
      <c r="A44" s="5" t="str">
        <f>'[1] DEUDA MUNICIPIOS NO AVALADOS'!A42</f>
        <v>M019 BANOBRAS / BENITO JUAREZ C.S 2.5MDP 10441</v>
      </c>
      <c r="B44" s="327" t="s">
        <v>216</v>
      </c>
      <c r="C44" s="134">
        <v>44499</v>
      </c>
      <c r="D44" s="54"/>
      <c r="E44" s="273">
        <f>2448220.85-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</f>
        <v>1287426.599999995</v>
      </c>
      <c r="F44" s="148"/>
      <c r="G44" s="157"/>
      <c r="I44" s="126"/>
      <c r="J44" s="126"/>
      <c r="K44" s="126"/>
    </row>
    <row r="45" spans="1:11" ht="13.5">
      <c r="A45" s="5" t="str">
        <f>'[1] DEUDA MUNICIPIOS NO AVALADOS'!A43</f>
        <v>M021 BANOBRAS / BENITO JUAREZ C.S 4.1MDP 10440</v>
      </c>
      <c r="B45" s="327" t="s">
        <v>217</v>
      </c>
      <c r="C45" s="134">
        <v>44653</v>
      </c>
      <c r="D45" s="54"/>
      <c r="E45" s="273">
        <f>4059913.87-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</f>
        <v>2255507.6299999943</v>
      </c>
      <c r="F45" s="148"/>
      <c r="G45" s="157"/>
      <c r="I45" s="126"/>
      <c r="J45" s="126"/>
      <c r="K45" s="126"/>
    </row>
    <row r="46" spans="1:11" ht="13.5">
      <c r="A46" s="5"/>
      <c r="B46" s="158"/>
      <c r="C46" s="134"/>
      <c r="D46" s="54"/>
      <c r="E46" s="54"/>
      <c r="G46" s="157"/>
      <c r="I46" s="126"/>
      <c r="J46" s="126"/>
      <c r="K46" s="126"/>
    </row>
    <row r="47" spans="1:11" ht="13.5">
      <c r="A47" s="125" t="s">
        <v>120</v>
      </c>
      <c r="B47" s="65"/>
      <c r="C47" s="134"/>
      <c r="D47" s="54"/>
      <c r="E47" s="54"/>
      <c r="G47" s="157"/>
      <c r="I47" s="126"/>
      <c r="J47" s="126"/>
      <c r="K47" s="126"/>
    </row>
    <row r="48" spans="1:11" ht="13.5">
      <c r="A48" s="5" t="str">
        <f>'[1] DEUDA MUNICIPIOS NO AVALADOS'!A46</f>
        <v>397 BANOBRAS / CABORCA C.S. 9119</v>
      </c>
      <c r="B48" s="158" t="s">
        <v>218</v>
      </c>
      <c r="C48" s="134">
        <v>43038</v>
      </c>
      <c r="D48" s="54"/>
      <c r="E48" s="273">
        <f>5600000-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</f>
        <v>866666.4300000049</v>
      </c>
      <c r="F48" s="148"/>
      <c r="G48" s="157">
        <f>E48+E49+E50</f>
        <v>40087117.379999995</v>
      </c>
      <c r="I48" s="126"/>
      <c r="J48" s="126"/>
      <c r="K48" s="126"/>
    </row>
    <row r="49" spans="1:11" ht="13.5">
      <c r="A49" s="5" t="str">
        <f>'[1] DEUDA MUNICIPIOS NO AVALADOS'!A47</f>
        <v>M008 BANOBRAS / CABORCA C.S  21 MDP 8925</v>
      </c>
      <c r="B49" s="327" t="s">
        <v>219</v>
      </c>
      <c r="C49" s="134">
        <v>47676</v>
      </c>
      <c r="D49" s="54"/>
      <c r="E49" s="273">
        <f>19848628.07-35824.74-36073.71-36324.42-36576.88-36831.08-37087.05-37344.81-37604.35-37865.7-38128.86-38393.85-38660.69-38929.37-39199.93-39472.37-39746.7-40022.93-40301.09-40581.18-40863.21-41147.21-41433.18-41721.14-42011.1-42303.07-42597.07-42893.12-43191.22-43491.4-43793.66-44098.02-44404.5-44713.11-45023.86-45336.77-45651.86-45969.13-46288.62-46610.32-46934.25-47260.44-47588.9-47919.64-48252.68-48588.03-48925.71-49265.74-49608.13-49952.91-50300.07-50649.66-51001.67-51356.12-51713.05-52072.45-52434.35-52798.76-53165.71-53535.2-53907.27-54281.92-54659.18</f>
        <v>17083944.94999999</v>
      </c>
      <c r="F49" s="148"/>
      <c r="G49" s="157"/>
      <c r="I49" s="126"/>
      <c r="J49" s="126"/>
      <c r="K49" s="126"/>
    </row>
    <row r="50" spans="1:11" ht="13.5">
      <c r="A50" s="5" t="str">
        <f>'[1] DEUDA MUNICIPIOS NO AVALADOS'!A49</f>
        <v>INTERACCIONES 372001 45 MDP</v>
      </c>
      <c r="B50" s="274" t="s">
        <v>220</v>
      </c>
      <c r="C50" s="134">
        <v>43616</v>
      </c>
      <c r="D50" s="54">
        <v>3500000</v>
      </c>
      <c r="E50" s="54">
        <f>45413293-736516-737461-738407-739354-740302-741252-742203-743155-744108-745062-746018-746975-747933-748892-749853-750815-751778-752742-753708-754674-755642-756612-757582-758554-759527-760501-761476-762453-763431-764410-765391</f>
        <v>22136506</v>
      </c>
      <c r="F50" s="148"/>
      <c r="G50" s="157"/>
      <c r="I50" s="126"/>
      <c r="J50" s="126"/>
      <c r="K50" s="126"/>
    </row>
    <row r="51" spans="1:11" ht="13.5">
      <c r="A51" s="5"/>
      <c r="B51" s="65"/>
      <c r="C51" s="134"/>
      <c r="D51" s="54"/>
      <c r="E51" s="54"/>
      <c r="G51" s="157"/>
      <c r="I51" s="126"/>
      <c r="J51" s="126"/>
      <c r="K51" s="126"/>
    </row>
    <row r="52" spans="1:5" ht="13.5">
      <c r="A52" s="125" t="s">
        <v>124</v>
      </c>
      <c r="B52" s="65"/>
      <c r="C52" s="5"/>
      <c r="D52" s="54"/>
      <c r="E52" s="135"/>
    </row>
    <row r="53" spans="1:7" ht="13.5">
      <c r="A53" s="5" t="str">
        <f>'[1] DEUDA MUNICIPIOS NO AVALADOS'!A52</f>
        <v>INTERACCIONES 381482 208 MDP</v>
      </c>
      <c r="B53" s="159" t="s">
        <v>221</v>
      </c>
      <c r="C53" s="134">
        <v>48760</v>
      </c>
      <c r="D53" s="54">
        <v>6240000</v>
      </c>
      <c r="E53" s="273">
        <f>208000000-1351982-251353-251353-251353-251353-251353-251353-251353-251353-251353-251353-251353-1372695-251353-251353-251353-268950-287779-307927-329485-352552-377235-403645-431904-1377515-494497-529116-566160-605797-648208</f>
        <v>194775611</v>
      </c>
      <c r="F53" s="148"/>
      <c r="G53" s="63">
        <f>E53+E54+E57+E58</f>
        <v>557295803.5300002</v>
      </c>
    </row>
    <row r="54" spans="1:11" ht="13.5">
      <c r="A54" s="127" t="s">
        <v>222</v>
      </c>
      <c r="B54" s="159" t="s">
        <v>223</v>
      </c>
      <c r="C54" s="134">
        <v>49248</v>
      </c>
      <c r="D54" s="54"/>
      <c r="E54" s="54">
        <f>320293776</f>
        <v>320293776</v>
      </c>
      <c r="G54" s="157"/>
      <c r="I54" s="126"/>
      <c r="J54" s="126"/>
      <c r="K54" s="126"/>
    </row>
    <row r="55" spans="1:11" ht="13.5">
      <c r="A55" s="5"/>
      <c r="B55" s="65"/>
      <c r="C55" s="134"/>
      <c r="D55" s="54"/>
      <c r="E55" s="54"/>
      <c r="G55" s="157"/>
      <c r="I55" s="126"/>
      <c r="J55" s="126"/>
      <c r="K55" s="126"/>
    </row>
    <row r="56" spans="1:5" ht="17.25" customHeight="1">
      <c r="A56" s="125" t="s">
        <v>127</v>
      </c>
      <c r="B56" s="65"/>
      <c r="C56" s="134"/>
      <c r="D56" s="54"/>
      <c r="E56" s="135"/>
    </row>
    <row r="57" spans="1:7" ht="13.5">
      <c r="A57" s="5" t="s">
        <v>128</v>
      </c>
      <c r="B57" s="65" t="s">
        <v>206</v>
      </c>
      <c r="C57" s="134">
        <v>44915</v>
      </c>
      <c r="D57" s="54"/>
      <c r="E57" s="54">
        <f>40300000.05-258333.33-258333.33-258333.33-258333.33-258333.33-258333.33-258333.33-258333.33-258333.33-258333.33-258333.33-258333.33-258333.33-258333.33-258333.33-258333.33-258333.33-258333.33-258333.33-258333.33-258333.33-258333.33-258333.33-258333.33-258333.33-258333.33-258333.33-258333.33-258333.33-258333.33-258333.33-0.15-258333.33-258333.33-258333.33-258333.33-0.02-258333.33-258333.33-258333.33-258333.33-258333.33-0.01-258333.33-0.01-258333.33-258333.33-258333.33-258333.33-258333.33-0.01-258333.33-258333.33-258333.33-0.01-258333.33-258333.33-258333.33-0.01-258333.33-258333.33-0.01-258333.33-258333.33-258333.33-0.01-258333.33-0.01-258333.33-258333.33-258333.33-258333.33-258333.33-258333.33-258333.33-258333.33-258333.33-258333.33-258333.33-0.03-258333.33-258333.33-0.01-258333.33-258333.33-258333.33-258333.33-258333.33-258333.33-258333.33-258333.33-258333.33</f>
        <v>19633333.360000126</v>
      </c>
      <c r="F57" s="395" t="s">
        <v>390</v>
      </c>
      <c r="G57" s="395"/>
    </row>
    <row r="58" spans="1:7" ht="13.5">
      <c r="A58" s="127" t="s">
        <v>129</v>
      </c>
      <c r="B58" s="65" t="s">
        <v>206</v>
      </c>
      <c r="C58" s="134">
        <v>45284</v>
      </c>
      <c r="D58" s="54"/>
      <c r="E58" s="54">
        <f>43628022.68-259690.61-259690.61-259690.61-259690.61-259690.61-259690.61-259690.61-259690.61-259690.61-259690.61-259690.61-259690.61-259690.61-259690.61-0.01-259690.61-259690.61-259690.61-259690.61-259690.61-259690.61-259690.61-259690.61-259690.61-259690.61-259690.61-259690.61-259690.61-259690.61-259690.61-259690.61-259690.61-0.05-259690.61-259690.61-259690.61-259690.61-259690.61-259690.61-259690.61-259690.61-259690.61-259690.61-259690.61-259690.61-259690.61-259690.61-259690.61-259690.61-259690.61-0.01-259690.61-259690.61-259690.61-259690.61-259690.61-259690.61-259690.61-259690.61-259690.61-259690.61-0.01-259690.61-259690.61-259690.61-259690.61-259690.61-259690.61-259690.61-259690.61-259690.61-259690.61-259690.61-0.01-259690.61-259690.61-259690.61-259690.61-259690.61-259690.61-259690.61-0.01-259690.61-259690.61-259690.61-259690.61-259690.61</f>
        <v>22593083.170000046</v>
      </c>
      <c r="F58" s="395"/>
      <c r="G58" s="395"/>
    </row>
    <row r="59" spans="1:11" ht="13.5">
      <c r="A59" s="5"/>
      <c r="B59" s="65"/>
      <c r="C59" s="134"/>
      <c r="D59" s="54"/>
      <c r="E59" s="54"/>
      <c r="G59" s="157"/>
      <c r="I59" s="126"/>
      <c r="J59" s="126"/>
      <c r="K59" s="126"/>
    </row>
    <row r="60" spans="1:11" ht="13.5">
      <c r="A60" s="125" t="str">
        <f>'[1] DEUDA MUNICIPIOS NO AVALADOS'!A58</f>
        <v>CARBO</v>
      </c>
      <c r="B60" s="65"/>
      <c r="C60" s="134"/>
      <c r="D60" s="54"/>
      <c r="E60" s="54"/>
      <c r="G60" s="157"/>
      <c r="I60" s="126"/>
      <c r="J60" s="126"/>
      <c r="K60" s="126"/>
    </row>
    <row r="61" spans="1:11" ht="13.5">
      <c r="A61" s="5" t="str">
        <f>'[1] DEUDA MUNICIPIOS NO AVALADOS'!A59</f>
        <v>FFRES 0052-14 CARBO 3 MDP</v>
      </c>
      <c r="B61" s="65" t="s">
        <v>206</v>
      </c>
      <c r="C61" s="134">
        <v>49136</v>
      </c>
      <c r="D61" s="54"/>
      <c r="E61" s="54">
        <f>990000-28611.11-28611.11+1148232.3-28611.11+535760.66-28611.11+416007.03-28611.11-28611.11-28611.11-28611.11-28611.11-28611.11-28611.11-28611.11-28611.11-28611.11-28611.11-28611.11-28611.11-28611.11-28611.11-28611.11-28611.11-28611.11-28611.11-28611.11-28611.11-28611.11</f>
        <v>2346111.1300000027</v>
      </c>
      <c r="G61" s="157"/>
      <c r="I61" s="126"/>
      <c r="J61" s="126"/>
      <c r="K61" s="126"/>
    </row>
    <row r="62" spans="1:11" ht="13.5">
      <c r="A62" s="5"/>
      <c r="B62" s="65"/>
      <c r="C62" s="134"/>
      <c r="D62" s="54"/>
      <c r="E62" s="54"/>
      <c r="G62" s="157"/>
      <c r="I62" s="126"/>
      <c r="J62" s="126"/>
      <c r="K62" s="126"/>
    </row>
    <row r="63" spans="1:11" ht="14.25" customHeight="1">
      <c r="A63" s="125" t="s">
        <v>224</v>
      </c>
      <c r="B63" s="65"/>
      <c r="C63" s="134"/>
      <c r="D63" s="54"/>
      <c r="E63" s="54"/>
      <c r="G63" s="157"/>
      <c r="I63" s="126"/>
      <c r="J63" s="126"/>
      <c r="K63" s="126"/>
    </row>
    <row r="64" spans="1:11" ht="13.5">
      <c r="A64" s="5" t="s">
        <v>225</v>
      </c>
      <c r="B64" s="274" t="s">
        <v>226</v>
      </c>
      <c r="C64" s="134">
        <v>42583</v>
      </c>
      <c r="D64" s="54"/>
      <c r="E64" s="273">
        <f>6133243.71-81776.59-81776.59-81776.59-81776.59-81776.59-81776.59-81776.59-81776.59-81776.59-81776.59-81776.59-81776.59-81776.59-81776.59-81776.59-81776.59-81776.59-81776.59-31956.47-81776.59-81776.59-49820.12-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-81776.05</f>
        <v>6.475602276623249E-09</v>
      </c>
      <c r="F64" s="148"/>
      <c r="G64" s="157">
        <f>E64+E65</f>
        <v>1428571.4000000092</v>
      </c>
      <c r="I64" s="126"/>
      <c r="J64" s="126"/>
      <c r="K64" s="126"/>
    </row>
    <row r="65" spans="1:11" ht="13.5">
      <c r="A65" s="5" t="str">
        <f>'[1] DEUDA MUNICIPIOS NO AVALADOS'!A63</f>
        <v>M011 BANOBRAS/CANANEA C.S 9924</v>
      </c>
      <c r="B65" s="327" t="s">
        <v>227</v>
      </c>
      <c r="C65" s="134">
        <v>43404</v>
      </c>
      <c r="D65" s="54"/>
      <c r="E65" s="273">
        <f>5000000-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</f>
        <v>1428571.4000000027</v>
      </c>
      <c r="F65" s="148"/>
      <c r="G65" s="157"/>
      <c r="I65" s="126"/>
      <c r="J65" s="126"/>
      <c r="K65" s="126"/>
    </row>
    <row r="66" spans="1:11" ht="13.5">
      <c r="A66" s="5"/>
      <c r="B66" s="65"/>
      <c r="C66" s="134"/>
      <c r="D66" s="54"/>
      <c r="E66" s="54"/>
      <c r="G66" s="157"/>
      <c r="I66" s="126"/>
      <c r="J66" s="126"/>
      <c r="K66" s="126"/>
    </row>
    <row r="67" spans="1:11" ht="13.5">
      <c r="A67" s="125" t="s">
        <v>86</v>
      </c>
      <c r="B67" s="65"/>
      <c r="C67" s="134"/>
      <c r="D67" s="54"/>
      <c r="E67" s="54"/>
      <c r="G67" s="157"/>
      <c r="I67" s="126"/>
      <c r="J67" s="126"/>
      <c r="K67" s="126"/>
    </row>
    <row r="68" spans="1:11" ht="13.5">
      <c r="A68" s="5" t="s">
        <v>134</v>
      </c>
      <c r="B68" s="65" t="s">
        <v>206</v>
      </c>
      <c r="C68" s="134">
        <v>47029</v>
      </c>
      <c r="D68" s="54"/>
      <c r="E68" s="54">
        <f>1097212.75-33333.33-33333.33+608371.74-33333.33+998240.74-0.01-33333.33+1835512.79-33333.33+215791.06-33333.33+249313.3-33333.33-33333.33+582616.94-0.01-33333.33+261716.03-33333.33-0.01-33333.33+122413.62-33333.33-33333.33-0.02-33333.33-33333.33-33333.33-33333.33-33333.33-33333.33-33333.33-33333.33-33333.33-33333.33-33333.33-0.01-33333.33-33333.33-33333.33-0.03-33333.33-33333.33-33333.33-33333.33-0.01-33333.33-33333.33-33333.33-33333.33-33333.33-0.02</f>
        <v>4771188.97</v>
      </c>
      <c r="F68" s="395"/>
      <c r="G68" s="395"/>
      <c r="I68" s="126"/>
      <c r="J68" s="126"/>
      <c r="K68" s="126"/>
    </row>
    <row r="69" spans="1:11" ht="13.5">
      <c r="A69" s="5"/>
      <c r="B69" s="65"/>
      <c r="C69" s="134"/>
      <c r="D69" s="54"/>
      <c r="E69" s="54"/>
      <c r="G69" s="157"/>
      <c r="I69" s="126"/>
      <c r="J69" s="126"/>
      <c r="K69" s="126"/>
    </row>
    <row r="70" spans="1:11" ht="14.25" customHeight="1">
      <c r="A70" s="125" t="s">
        <v>87</v>
      </c>
      <c r="B70" s="65"/>
      <c r="C70" s="134"/>
      <c r="D70" s="54"/>
      <c r="E70" s="54"/>
      <c r="G70" s="157"/>
      <c r="I70" s="126"/>
      <c r="J70" s="126"/>
      <c r="K70" s="126"/>
    </row>
    <row r="71" spans="1:11" ht="13.5">
      <c r="A71" s="5" t="s">
        <v>135</v>
      </c>
      <c r="B71" s="65" t="s">
        <v>206</v>
      </c>
      <c r="C71" s="134">
        <v>47029</v>
      </c>
      <c r="D71" s="54"/>
      <c r="E71" s="54">
        <f>1887349.74-36111.11-0.4-36111.11+1540002.37-36111.11-36111.11+1226722-36111.11-36111.11+289877.66+1205222.34-36111.11-36111.11+352396.17-36111.11-0.01-36111.11-36111.11-36111.11-36111.11-36111.11-36111.11-36111.11-36111.11-36111.11-36111.11-36111.11-36111.11-36111.11-36111.11-36111.11-0.02-36111.11-36111.11-36111.11-36111.11-36111.11-36111.11-36111.11-36111.11-36111.11-36111.11-36111.11-36111.11-0.01</f>
        <v>5201569.879999991</v>
      </c>
      <c r="F71" s="395"/>
      <c r="G71" s="395"/>
      <c r="I71" s="126"/>
      <c r="J71" s="126"/>
      <c r="K71" s="126"/>
    </row>
    <row r="72" spans="1:11" ht="13.5">
      <c r="A72" s="5"/>
      <c r="B72" s="65"/>
      <c r="C72" s="134"/>
      <c r="D72" s="54"/>
      <c r="E72" s="54"/>
      <c r="G72" s="157"/>
      <c r="I72" s="126"/>
      <c r="J72" s="126"/>
      <c r="K72" s="126"/>
    </row>
    <row r="73" spans="1:11" ht="13.5">
      <c r="A73" s="125" t="s">
        <v>136</v>
      </c>
      <c r="B73" s="65"/>
      <c r="C73" s="65"/>
      <c r="D73" s="54"/>
      <c r="E73" s="54"/>
      <c r="G73" s="157"/>
      <c r="I73" s="126"/>
      <c r="J73" s="126"/>
      <c r="K73" s="126"/>
    </row>
    <row r="74" spans="1:11" ht="13.5">
      <c r="A74" s="5" t="str">
        <f>'[1] DEUDA MUNICIPIOS NO AVALADOS'!A72</f>
        <v>M0009 BANOBRAS/EMPALME C.S. 13.250 MDP 9100</v>
      </c>
      <c r="B74" s="327" t="s">
        <v>228</v>
      </c>
      <c r="C74" s="134">
        <v>45891</v>
      </c>
      <c r="D74" s="54"/>
      <c r="E74" s="273">
        <f>12318241.32-39714.39-39981.96-40251.33-40522.52-40795.54-41070.4-41347.11-41625.68-41906.13-42188.47-42472.71-42758.87-43046.95-43336.98-43628.95-43922.9-44218.83-44516.75-44816.68-45118.63-45422.61-45728.64-46036.73-46346.9-46659.16-46973.52-47290-47608.61-47929.37-48252.29-48577.39-48904.68-49234.17-49565.88-49899.82-50236.02-50574.48-50915.22-51258.26-51603.61-51951.28-52301.3-52653.67-53008.42-53365.56-53725.11-54087.08-54451.49-54818.35-55187.68-55559.5-55933.83-56310.68-56690.07-57072.02-57456.53-57843.64-58233.36-58625.7</f>
        <v>9452706.910000002</v>
      </c>
      <c r="F74" s="148"/>
      <c r="G74" s="157">
        <f>E74+E75</f>
        <v>39195164.43</v>
      </c>
      <c r="I74" s="126"/>
      <c r="J74" s="126"/>
      <c r="K74" s="126"/>
    </row>
    <row r="75" spans="1:11" ht="13.5">
      <c r="A75" s="5" t="str">
        <f>' DEUDA MUNICIPIOS NO AVALADOS'!A74</f>
        <v>FINTEGRA 31 MDP 2015</v>
      </c>
      <c r="B75" s="158" t="s">
        <v>357</v>
      </c>
      <c r="C75" s="134">
        <v>46538</v>
      </c>
      <c r="D75" s="54"/>
      <c r="E75" s="273">
        <f>30800000-50000-50000-50000-50000-50000-50000-50000-50000-163157.85-163973.64-164793.51-165617.48</f>
        <v>29742457.519999996</v>
      </c>
      <c r="F75" s="148"/>
      <c r="G75" s="157"/>
      <c r="I75" s="126"/>
      <c r="J75" s="126"/>
      <c r="K75" s="126"/>
    </row>
    <row r="76" spans="1:11" ht="13.5">
      <c r="A76" s="5"/>
      <c r="B76" s="65"/>
      <c r="C76" s="134"/>
      <c r="D76" s="54"/>
      <c r="E76" s="54"/>
      <c r="F76" s="148"/>
      <c r="G76" s="157"/>
      <c r="I76" s="126"/>
      <c r="J76" s="126"/>
      <c r="K76" s="126"/>
    </row>
    <row r="77" spans="1:11" ht="13.5">
      <c r="A77" s="125" t="s">
        <v>137</v>
      </c>
      <c r="B77" s="65"/>
      <c r="C77" s="134"/>
      <c r="D77" s="54"/>
      <c r="E77" s="54"/>
      <c r="G77" s="157"/>
      <c r="I77" s="126"/>
      <c r="J77" s="126"/>
      <c r="K77" s="126"/>
    </row>
    <row r="78" spans="1:11" ht="13.5">
      <c r="A78" s="5" t="s">
        <v>138</v>
      </c>
      <c r="B78" s="274" t="s">
        <v>229</v>
      </c>
      <c r="C78" s="134">
        <v>43220</v>
      </c>
      <c r="D78" s="54"/>
      <c r="E78" s="273">
        <f>25777177.1-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</f>
        <v>4947134.699999979</v>
      </c>
      <c r="F78" s="148"/>
      <c r="G78" s="157"/>
      <c r="I78" s="126"/>
      <c r="J78" s="126"/>
      <c r="K78" s="126"/>
    </row>
    <row r="79" spans="1:11" ht="13.5">
      <c r="A79" s="5"/>
      <c r="B79" s="65"/>
      <c r="C79" s="134"/>
      <c r="D79" s="54"/>
      <c r="E79" s="54"/>
      <c r="G79" s="157"/>
      <c r="I79" s="126"/>
      <c r="J79" s="126"/>
      <c r="K79" s="126"/>
    </row>
    <row r="80" spans="1:11" ht="14.25" customHeight="1">
      <c r="A80" s="125" t="s">
        <v>139</v>
      </c>
      <c r="B80" s="65"/>
      <c r="C80" s="134"/>
      <c r="D80" s="54"/>
      <c r="E80" s="54"/>
      <c r="G80" s="157"/>
      <c r="I80" s="126"/>
      <c r="J80" s="126"/>
      <c r="K80" s="126"/>
    </row>
    <row r="81" spans="1:11" ht="13.5">
      <c r="A81" s="5" t="s">
        <v>140</v>
      </c>
      <c r="B81" s="274" t="s">
        <v>230</v>
      </c>
      <c r="C81" s="134">
        <v>43281</v>
      </c>
      <c r="D81" s="54"/>
      <c r="E81" s="273">
        <f>4296432.96-42538.94-42538.94-42538.94-42538.94-42538.94-42538.94-42538.94-42538.94-42538.94-42538.94-42538.94-42538.94-42538.94-42538.94-42538.94-42538.94-42538.94-42538.94-42538.94-42538.94-42538.94-42538.94-42538.94-42538.94-42538.94-42538.94-42538.94-19229.54-23309.4-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</f>
        <v>850778.8200000036</v>
      </c>
      <c r="F81" s="148"/>
      <c r="G81" s="157">
        <f>(E81)/1000</f>
        <v>850.7788200000035</v>
      </c>
      <c r="I81" s="126"/>
      <c r="J81" s="126"/>
      <c r="K81" s="126"/>
    </row>
    <row r="82" spans="1:11" ht="13.5">
      <c r="A82" s="5"/>
      <c r="B82" s="65"/>
      <c r="C82" s="65"/>
      <c r="D82" s="54"/>
      <c r="E82" s="54"/>
      <c r="F82" s="148"/>
      <c r="G82" s="157"/>
      <c r="I82" s="126"/>
      <c r="J82" s="126"/>
      <c r="K82" s="126"/>
    </row>
    <row r="83" spans="1:11" ht="13.5">
      <c r="A83" s="125" t="s">
        <v>141</v>
      </c>
      <c r="B83" s="65"/>
      <c r="C83" s="65"/>
      <c r="D83" s="54"/>
      <c r="E83" s="54"/>
      <c r="F83" s="148"/>
      <c r="G83" s="157"/>
      <c r="I83" s="126"/>
      <c r="J83" s="126"/>
      <c r="K83" s="126"/>
    </row>
    <row r="84" spans="1:11" ht="13.5">
      <c r="A84" s="127" t="s">
        <v>142</v>
      </c>
      <c r="B84" s="159" t="s">
        <v>231</v>
      </c>
      <c r="C84" s="134">
        <v>45574</v>
      </c>
      <c r="D84" s="54"/>
      <c r="E84" s="54">
        <f>8640560.6-75794.4-75794.4-75794.4-75794.4-75794.4-75794.4-75794-75794.4-75794.4-75794.4-75794.4-75794.4-75794.4</f>
        <v>7655233.799999995</v>
      </c>
      <c r="F84" s="148"/>
      <c r="G84" s="157">
        <f>E84+E87</f>
        <v>14728646.499999976</v>
      </c>
      <c r="I84" s="126"/>
      <c r="J84" s="126"/>
      <c r="K84" s="126"/>
    </row>
    <row r="85" spans="1:11" ht="13.5">
      <c r="A85" s="127"/>
      <c r="B85" s="159"/>
      <c r="C85" s="134"/>
      <c r="D85" s="54"/>
      <c r="E85" s="54"/>
      <c r="F85" s="148"/>
      <c r="G85" s="157"/>
      <c r="I85" s="126"/>
      <c r="J85" s="126"/>
      <c r="K85" s="126"/>
    </row>
    <row r="86" spans="1:6" ht="13.5">
      <c r="A86" s="125" t="s">
        <v>355</v>
      </c>
      <c r="B86" s="65"/>
      <c r="C86" s="134"/>
      <c r="D86" s="54"/>
      <c r="E86" s="135"/>
      <c r="F86" s="148"/>
    </row>
    <row r="87" spans="1:6" ht="13.5">
      <c r="A87" s="5" t="s">
        <v>175</v>
      </c>
      <c r="B87" s="65" t="s">
        <v>206</v>
      </c>
      <c r="C87" s="134">
        <v>13174</v>
      </c>
      <c r="D87" s="54"/>
      <c r="E87" s="54">
        <f>10000000-59523.81-59523.81-59523.81-59523.81-59523.81-59523.81-59523.81-59523.81-59523.81-59523.81-59523.81+39682.5-55555.56-43650.75-55555.56-55555.56-55555.56-55555.56+47619-55555.56-55555.56-55555.56-55555.56-55555.56-55555.56-55555.56-55555.56-55555.56-51256.61-51256.61-51256.61-51256.61-51256.61-51256.61-51256.61-51256.61-51256.61-0-51256.61-51256.61-51256.61-51256.61-51256.61-51256.61-51256.61-51256.61-51256.61-51256.61-51256.61-51256.61-51256.61-51256.61-51256.61-51256.61-51256.61-51256.61-51256.61-51256.61-51256.61</f>
        <v>7073412.699999981</v>
      </c>
      <c r="F87" s="330"/>
    </row>
    <row r="88" spans="1:11" ht="13.5">
      <c r="A88" s="5"/>
      <c r="B88" s="65"/>
      <c r="C88" s="65"/>
      <c r="D88" s="54"/>
      <c r="E88" s="54"/>
      <c r="F88" s="148"/>
      <c r="G88" s="157"/>
      <c r="I88" s="126"/>
      <c r="J88" s="126"/>
      <c r="K88" s="126"/>
    </row>
    <row r="89" spans="1:7" ht="15">
      <c r="A89" s="125" t="s">
        <v>143</v>
      </c>
      <c r="B89" s="65"/>
      <c r="C89" s="5"/>
      <c r="D89" s="54"/>
      <c r="E89" s="135"/>
      <c r="G89" s="160"/>
    </row>
    <row r="90" spans="1:7" ht="15">
      <c r="A90" s="5" t="s">
        <v>144</v>
      </c>
      <c r="B90" s="65" t="s">
        <v>232</v>
      </c>
      <c r="C90" s="134">
        <v>46446</v>
      </c>
      <c r="D90" s="54"/>
      <c r="E90" s="54">
        <f>53341089-52111-52788-53475-54170-54874-56310-55587-57042-57783-58535-59296-60066-60847-61638-63251-63251-64907-64907-65750-66605-67471-68348-69237-70137-71048-71972-72908+1644-73856-74816-75788-76774-77772-78783-79807-80844-81895-82960-84038-85131-86238-87359-88494-89645-90810-91991-93187-94398-95625-96868-98128-99403-100695-102004-104674-103331-106035-107413-108809-110224-111657-113108-114579-116068-117577-119106-120654-122223-123812-125421-127052-128703-130376-132071-133788-135527-137289-139074-140882-142713-144569-146448</f>
        <v>45937927</v>
      </c>
      <c r="F90" s="148"/>
      <c r="G90" s="160">
        <f>E90+E91+E92+E93</f>
        <v>372097750.90999997</v>
      </c>
    </row>
    <row r="91" spans="1:7" ht="13.5">
      <c r="A91" s="5" t="s">
        <v>145</v>
      </c>
      <c r="B91" s="65" t="s">
        <v>206</v>
      </c>
      <c r="C91" s="134">
        <v>45321</v>
      </c>
      <c r="D91" s="54"/>
      <c r="E91" s="54">
        <f>15000000-89285.71-89285.71-89285.71-89285.71-89285.71-89285.71-89285.71-89285.71-89285.71-89285.71-89285.71-89285.71-89285.71-89285.71-89285.71-89285.71-89285.71-89285.71-89285.71-89285.71-89285.71-89285.71-89285.71-89285.71-89285.71-89285.71-0.12-89285.71-89285.71-89285.71-89285.71+89285.83-89285.71-89285.71-89285.71-89285.71-89285.71+713.85-89285.71-90000-89285.71-89285.71-89285.71+0.44-89285.71-89285.71-89285.71-89285.71-89285.71-89285.71-89285.71-89285.71-89285.71-89285.71-89285.71-89285.71-89285.71-89285.71-89285.71-89285.71-89285.71-89285.71-0.03-89285.71-89285.71-89285.71-89285.71-89285.71-89285.71-89285.71-89285.71-89285.71-89285.71-89285.71+0.03-89285.71-89285.71-89285.71-0.3-89285.71-89285.71+0.3-89285.71-89285.71-89285.71-89285.71-89285.71-89285.71-89285.71</f>
        <v>7857143.199999934</v>
      </c>
      <c r="F91" s="396"/>
      <c r="G91" s="396"/>
    </row>
    <row r="92" spans="1:7" ht="13.5">
      <c r="A92" s="5" t="s">
        <v>146</v>
      </c>
      <c r="B92" s="65" t="s">
        <v>206</v>
      </c>
      <c r="C92" s="134">
        <v>45557</v>
      </c>
      <c r="D92" s="54"/>
      <c r="E92" s="54">
        <f>10000000-59523.81-59523.81-59523.81-59523.81-59523.81-59523.81-59523.81-59523.81-59523.81-59523.81-59523.81-59523.81-59523.81-59523.81-59523.81-59523.81-59523.81-59523.81-59523.81-59523.81-59523.81-59523.81+0.01-59523.81-59523.81-59523.81-59523.81-59523.81-59523.81-59523.81-59523.81-59523.81-59523.81+0.01-59523.81-59523.81-59523.81-59523.81-59523.81-59523.81-59523.81-59523.81-59523.81-59523.81-59523.81-59523.81-59523.81-59523.81-59523.81-59523.81-59523.81-59523.81-59523.81-59523.81-59523.81-59523.81-59523.81-59523.81-59523.81-59523.81-59523.81-59523.81+0.01-59523.81-59523.81-59523.81-59523.81-59523.81-59523.81-59523.81-59523.81-59523.81-59523.81-59523.81-59523.81</f>
        <v>5714285.710000004</v>
      </c>
      <c r="F92" s="396"/>
      <c r="G92" s="396"/>
    </row>
    <row r="93" spans="1:6" ht="13.5">
      <c r="A93" s="5" t="str">
        <f>'[1] DEUDA MUNICIPIOS NO AVALADOS'!A84</f>
        <v>BANSI 315 MDP 2013</v>
      </c>
      <c r="B93" s="65" t="s">
        <v>233</v>
      </c>
      <c r="C93" s="134">
        <v>48815</v>
      </c>
      <c r="D93" s="54"/>
      <c r="E93" s="54">
        <f>315000000-61665-61665-61665-61665-61665-61665-61665-61665-61665-61665-61665-61665-61665-61665-61665-61665-61665-61665-61665-61665-61665-61665-61665-61665-71665-71665-71665-71665-71665-71665-71665-71665-71665-71665-71665-71665-71665</f>
        <v>312588395</v>
      </c>
      <c r="F93" s="275"/>
    </row>
    <row r="94" spans="1:6" ht="13.5">
      <c r="A94" s="5"/>
      <c r="B94" s="65"/>
      <c r="C94" s="134"/>
      <c r="D94" s="54"/>
      <c r="E94" s="54"/>
      <c r="F94" s="148"/>
    </row>
    <row r="95" spans="1:5" ht="13.5">
      <c r="A95" s="125" t="s">
        <v>149</v>
      </c>
      <c r="B95" s="65"/>
      <c r="C95" s="5"/>
      <c r="D95" s="54"/>
      <c r="E95" s="135"/>
    </row>
    <row r="96" spans="1:6" ht="13.5">
      <c r="A96" s="5" t="s">
        <v>144</v>
      </c>
      <c r="B96" s="65" t="s">
        <v>232</v>
      </c>
      <c r="C96" s="134">
        <v>46446</v>
      </c>
      <c r="D96" s="54"/>
      <c r="E96" s="54">
        <f>519347978.82-517747-524478-531296-538203-552287-545199-559467-566740-574107-581571-589131-596790-604548-620368-620368-636603-636603-644879-653262-661755-2232463.09-679072-687900-696843-705902-715078+1578237.09-724374-733791-743331-752994-762783-772699-782744-792920-803228-813670-824247-834962-845817-856813-867951-879235-890665-902243-913972-925854-937890-950083-962434-974945-987620-1000459-1013465-1026640-1039986-1053506-1067201-1081075-1095129-1109366-1123788-1138397-1153196-1168187-1183374-1198758-1214342-1230128-1246120-1262319-1278729-1295353-1312192-1329251-1346531-1364036-1381769-1399732-1417928-1436361</f>
        <v>447248972.82</v>
      </c>
      <c r="F96" s="144" t="s">
        <v>395</v>
      </c>
    </row>
    <row r="97" spans="1:6" ht="13.5">
      <c r="A97" s="5" t="str">
        <f>'[1] DEUDA MUNICIPIOS NO AVALADOS'!A88</f>
        <v>COFIDAN SN6570 230 mdp</v>
      </c>
      <c r="B97" s="333">
        <v>8.719</v>
      </c>
      <c r="C97" s="134">
        <v>48029</v>
      </c>
      <c r="D97" s="54"/>
      <c r="E97" s="54">
        <f>230000000-375360-437690-381800-443900-388470-391690-570860-399280-460920-406180-467590-413080-416530-477710-423660-484610-431020-434470-609960-442750-503240-450340-510600-457930-461610-521870-469430-529460-477480-481390-596850-489900-549470-498180-557520-506690-510830-569710-519340</f>
        <v>211480630</v>
      </c>
      <c r="F97" s="148"/>
    </row>
    <row r="98" spans="1:8" ht="13.5">
      <c r="A98" s="5" t="s">
        <v>234</v>
      </c>
      <c r="B98" s="159" t="s">
        <v>235</v>
      </c>
      <c r="C98" s="134">
        <v>48693</v>
      </c>
      <c r="D98" s="54"/>
      <c r="E98" s="54">
        <f>529000000-500000-500000-500000-500000-500000-500000-500000-500000-500000-500000-500000-500000-500000-500000-500000-500000-500000</f>
        <v>520500000</v>
      </c>
      <c r="F98" s="276"/>
      <c r="H98" s="63">
        <f>E96+E97+E98+E99+E101+E103+E104</f>
        <v>1726512589.8799999</v>
      </c>
    </row>
    <row r="99" spans="1:6" ht="13.5">
      <c r="A99" s="5" t="str">
        <f>'[1] DEUDA MUNICIPIOS NO AVALADOS'!A90</f>
        <v>COFIDAN SN6260 242.6 MDP</v>
      </c>
      <c r="B99" s="65">
        <v>8.101</v>
      </c>
      <c r="C99" s="134">
        <v>48791</v>
      </c>
      <c r="D99" s="54"/>
      <c r="E99" s="54">
        <f>173026436.42+8128432.48+4691711.11-275610.48-329505.83-280814.33-334523.84-286017.89+0.47-288619.84-0.27-393251.36-294380.98-347904.8+0.14-299956.38-353294.34-305531.77-308133.63+0.12-361285.75</f>
        <v>181387749.24999994</v>
      </c>
      <c r="F99" s="148"/>
    </row>
    <row r="100" spans="1:6" ht="13.5">
      <c r="A100" s="5" t="str">
        <f>' DEUDA MUNICIPIOS NO AVALADOS'!A99</f>
        <v>INTERACCIONES no. 439277 100 mdp</v>
      </c>
      <c r="B100" s="159" t="s">
        <v>430</v>
      </c>
      <c r="C100" s="134">
        <v>43100</v>
      </c>
      <c r="D100" s="54"/>
      <c r="E100" s="54">
        <f>100000000</f>
        <v>100000000</v>
      </c>
      <c r="F100" s="148"/>
    </row>
    <row r="101" spans="1:6" ht="13.5">
      <c r="A101" s="5" t="str">
        <f>' DEUDA MUNICIPIOS NO AVALADOS'!A100</f>
        <v>INTERACCIONES no. 429359 80 mdp</v>
      </c>
      <c r="B101" s="159" t="s">
        <v>398</v>
      </c>
      <c r="C101" s="134">
        <v>42735</v>
      </c>
      <c r="D101" s="54"/>
      <c r="E101" s="235">
        <f>80000000-6666666.67-6666666.67-6666666.67-6666666.67-6666666.67-6666666.67-6666666.67-6666666.67-6666666.67</f>
        <v>19999999.969999984</v>
      </c>
      <c r="F101" s="148" t="s">
        <v>399</v>
      </c>
    </row>
    <row r="102" spans="1:5" ht="18.75" customHeight="1">
      <c r="A102" s="125" t="s">
        <v>154</v>
      </c>
      <c r="B102" s="65"/>
      <c r="C102" s="134"/>
      <c r="D102" s="54"/>
      <c r="E102" s="135"/>
    </row>
    <row r="103" spans="1:6" ht="13.5">
      <c r="A103" s="5" t="s">
        <v>155</v>
      </c>
      <c r="B103" s="65" t="s">
        <v>236</v>
      </c>
      <c r="C103" s="134">
        <v>44559</v>
      </c>
      <c r="D103" s="54"/>
      <c r="E103" s="235">
        <f>39814285.7-276488.1-276488.1-276488.1-276488.1-276488.1-276488.1-276488.1-276488.1-276488.1-276488.1-276488.1-276488.1-276488.1-276488.1-276488.1-276488.1-276488.1-276488.1-276488.1-276488.1-276488.1-276488.1-276488.1-276488.1-276488.1-276488.1-276488.1-276488.1-276488.1-276488.1-276488.1+0.14-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</f>
        <v>17695237.839999884</v>
      </c>
      <c r="F103" s="148" t="s">
        <v>389</v>
      </c>
    </row>
    <row r="104" spans="1:6" ht="13.5">
      <c r="A104" s="5" t="str">
        <f>'[1] DEUDA MUNICIPIOS NO AVALADOS'!A95</f>
        <v>BANSI 330 mdp 2014</v>
      </c>
      <c r="B104" s="65" t="s">
        <v>237</v>
      </c>
      <c r="C104" s="134">
        <v>47111</v>
      </c>
      <c r="D104" s="54"/>
      <c r="E104" s="54">
        <f>330000000-0-0-200000-200000-200000-200000-200000-200000-200000-200000-200000</f>
        <v>328200000</v>
      </c>
      <c r="F104" s="275"/>
    </row>
    <row r="105" spans="1:11" ht="14.25" customHeight="1">
      <c r="A105" s="5"/>
      <c r="B105" s="65"/>
      <c r="C105" s="65"/>
      <c r="D105" s="54"/>
      <c r="E105" s="54"/>
      <c r="G105" s="157"/>
      <c r="I105" s="126"/>
      <c r="J105" s="126"/>
      <c r="K105" s="126"/>
    </row>
    <row r="106" spans="1:11" ht="14.25" customHeight="1">
      <c r="A106" s="125" t="str">
        <f>'[1] DEUDA MUNICIPIOS NO AVALADOS'!A97</f>
        <v>HUATABAMPO</v>
      </c>
      <c r="B106" s="65"/>
      <c r="C106" s="65"/>
      <c r="D106" s="54"/>
      <c r="E106" s="54"/>
      <c r="G106" s="157"/>
      <c r="I106" s="126"/>
      <c r="J106" s="126"/>
      <c r="K106" s="126"/>
    </row>
    <row r="107" spans="1:11" ht="14.25" customHeight="1">
      <c r="A107" s="5" t="str">
        <f>'[1] DEUDA MUNICIPIOS NO AVALADOS'!A99</f>
        <v>BANOBRAS 11129 68 MDP</v>
      </c>
      <c r="B107" s="65" t="s">
        <v>238</v>
      </c>
      <c r="C107" s="134">
        <v>48858</v>
      </c>
      <c r="D107" s="54"/>
      <c r="E107" s="54">
        <f>65858629.91-119041.78-119867.88-120699.71-121537.32-122380.74-123230.01-124085.17-124946.27-125813.35-126686.44-127565.59-128450.84-129342.24-130239.82-131143.63-132053.71-132970.11-133892.87-134822.03-135757.63-136699.74-137648.38-138603.6-139565.45-140533.98</f>
        <v>62621051.61999997</v>
      </c>
      <c r="F107" s="148">
        <v>800001056</v>
      </c>
      <c r="G107" s="157"/>
      <c r="I107" s="126"/>
      <c r="J107" s="126"/>
      <c r="K107" s="126"/>
    </row>
    <row r="108" spans="1:27" ht="14.25" customHeight="1">
      <c r="A108" s="5"/>
      <c r="B108" s="65"/>
      <c r="C108" s="65"/>
      <c r="D108" s="54"/>
      <c r="E108" s="54"/>
      <c r="G108" s="157"/>
      <c r="I108" s="126"/>
      <c r="J108" s="126"/>
      <c r="K108" s="126"/>
      <c r="O108" s="1" t="s">
        <v>362</v>
      </c>
      <c r="P108" s="161">
        <v>42256</v>
      </c>
      <c r="Q108" s="3">
        <v>6756332.19</v>
      </c>
      <c r="R108" s="3">
        <v>1256166.73</v>
      </c>
      <c r="S108" s="1">
        <v>0</v>
      </c>
      <c r="T108" s="3">
        <v>16304318.18</v>
      </c>
      <c r="U108" s="1">
        <v>0</v>
      </c>
      <c r="V108" s="3">
        <v>16304318.18</v>
      </c>
      <c r="W108" s="1">
        <v>0</v>
      </c>
      <c r="X108" s="1">
        <v>0</v>
      </c>
      <c r="Y108" s="3">
        <v>4670072.95</v>
      </c>
      <c r="Z108" s="3">
        <v>3621746.31</v>
      </c>
      <c r="AA108" s="3">
        <v>8291819.26</v>
      </c>
    </row>
    <row r="109" spans="1:5" ht="13.5">
      <c r="A109" s="125" t="s">
        <v>159</v>
      </c>
      <c r="B109" s="65"/>
      <c r="C109" s="134"/>
      <c r="D109" s="54"/>
      <c r="E109" s="54"/>
    </row>
    <row r="110" spans="1:7" ht="13.5">
      <c r="A110" s="5" t="str">
        <f>'[1] DEUDA MUNICIPIOS NO AVALADOS'!A104</f>
        <v>FFRES 0038-13</v>
      </c>
      <c r="B110" s="65" t="s">
        <v>206</v>
      </c>
      <c r="C110" s="134">
        <v>46954</v>
      </c>
      <c r="D110" s="54"/>
      <c r="E110" s="54">
        <f>891484.74-16666.67-16666.67+313328.44-16666.67+341013.94-16666.67+113965.71-16666.67-16666.67+190035.01+0.01-16666.67-16666.67-16666.67-16666.67+0.01+1032148.11-16666.67-16666.67-16666.67+87268.33-16666.67+0.04-16666.67+0.01-16666.67-16666.67-16666.67-16666.67-16666.67-16666.67-16666.67-16666.67-16666.67-16666.67-16666.67-16666.67+0.04-16666.67-16666.67-16666.67+0.01-16666.67-16666.67-16666.67-16666.67+0.01-16666.67-16666.67-16666.67-16666.67-16666.67+0.02</f>
        <v>2319244.300000002</v>
      </c>
      <c r="F110" s="396"/>
      <c r="G110" s="396"/>
    </row>
    <row r="111" spans="1:7" ht="13.5">
      <c r="A111" s="5" t="str">
        <f>' DEUDA MUNICIPIOS NO AVALADOS'!A110</f>
        <v>FINTEGRA 15MDP 2014</v>
      </c>
      <c r="B111" s="68" t="s">
        <v>357</v>
      </c>
      <c r="C111" s="134">
        <v>46265</v>
      </c>
      <c r="D111" s="54"/>
      <c r="E111" s="54">
        <f>14800138.52-80260.78-80662.09-81065.4-81470.72-81878.08-82287.47-82698.91-83112.4-83527.96-83945.6-84365.33-84787.16</f>
        <v>13810076.619999997</v>
      </c>
      <c r="F111" s="330"/>
      <c r="G111" s="330">
        <f>E110+E111</f>
        <v>16129320.92</v>
      </c>
    </row>
    <row r="112" spans="1:5" ht="13.5">
      <c r="A112" s="5"/>
      <c r="B112" s="65"/>
      <c r="C112" s="134"/>
      <c r="D112" s="54"/>
      <c r="E112" s="54"/>
    </row>
    <row r="113" spans="1:5" ht="13.5">
      <c r="A113" s="125" t="s">
        <v>161</v>
      </c>
      <c r="B113" s="65"/>
      <c r="C113" s="134"/>
      <c r="D113" s="54"/>
      <c r="E113" s="54"/>
    </row>
    <row r="114" spans="1:8" ht="13.5">
      <c r="A114" s="5" t="str">
        <f>'[1] DEUDA MUNICIPIOS NO AVALADOS'!A107</f>
        <v>FFRES-0037-13</v>
      </c>
      <c r="B114" s="65" t="s">
        <v>206</v>
      </c>
      <c r="C114" s="134">
        <v>46809</v>
      </c>
      <c r="D114" s="54"/>
      <c r="E114" s="54">
        <f>1897191.18-15241.67-15241.67+810529.14-15241.67-15241.67-15241.67-15241.67+0.01-15241.67-15241.67+0.01-15241.67-15241.67-15241.67-15241.67-15241.67-15241.67+0.02-15241.67-15241.67+0.01-15241.67-15241.67-15241.67-15241.67+0.01-15241.67-15241.67-15241.67-15241.67-15241.67-15241.67-15241.67-15241.67-15241.67+0.03-15241.67-15241.67-15241.67+0.01-15241.67-15241.67-15241.67-15241.67-15241.67-15241.67-15241.67-15241.67-15241.67+0.03</f>
        <v>2082811.9800000016</v>
      </c>
      <c r="F114" s="396"/>
      <c r="G114" s="396"/>
      <c r="H114" s="63">
        <f>E114+E115</f>
        <v>15300102.950000003</v>
      </c>
    </row>
    <row r="115" spans="1:7" ht="13.5">
      <c r="A115" s="5" t="str">
        <f>' DEUDA MUNICIPIOS NO AVALADOS'!A114</f>
        <v>FINTEGRA 13,560,000 2015</v>
      </c>
      <c r="B115" s="68" t="s">
        <v>357</v>
      </c>
      <c r="C115" s="134">
        <v>46505</v>
      </c>
      <c r="D115" s="54"/>
      <c r="E115" s="235">
        <f>13560000-15000-15000-15000-15000-15000-15000-49541.03-50036.44-50536.8-51042.17-51552.59</f>
        <v>13217290.97</v>
      </c>
      <c r="F115" s="330"/>
      <c r="G115" s="330"/>
    </row>
    <row r="116" spans="1:5" ht="13.5">
      <c r="A116" s="5"/>
      <c r="B116" s="65"/>
      <c r="C116" s="134"/>
      <c r="D116" s="54"/>
      <c r="E116" s="54"/>
    </row>
    <row r="117" spans="1:5" ht="13.5">
      <c r="A117" s="125" t="str">
        <f>'[1] DEUDA MUNICIPIOS NO AVALADOS'!A109</f>
        <v>MAZATAN</v>
      </c>
      <c r="B117" s="65"/>
      <c r="C117" s="134"/>
      <c r="D117" s="54"/>
      <c r="E117" s="54"/>
    </row>
    <row r="118" spans="1:5" ht="13.5">
      <c r="A118" s="5" t="str">
        <f>'[1] DEUDA MUNICIPIOS NO AVALADOS'!A110</f>
        <v>FFRES 0048-13</v>
      </c>
      <c r="B118" s="65" t="s">
        <v>206</v>
      </c>
      <c r="C118" s="134">
        <v>49298</v>
      </c>
      <c r="D118" s="54"/>
      <c r="E118" s="54">
        <f>1065039.05-20000-20000-20000-20000-20000+1362610.87-20000-20000-20000+719317.87-20000-20000+453032.21-20000-20000-20000-20000-20000-20000-20000-20000-20000-20000-20000-20000-20000-20000-20000-20000-20000-20000-20000-20000-20000-20000-20000</f>
        <v>2940000</v>
      </c>
    </row>
    <row r="119" spans="1:5" ht="13.5">
      <c r="A119" s="5"/>
      <c r="B119" s="65"/>
      <c r="C119" s="134"/>
      <c r="D119" s="54"/>
      <c r="E119" s="54"/>
    </row>
    <row r="120" spans="1:9" ht="14.25" customHeight="1">
      <c r="A120" s="125" t="s">
        <v>164</v>
      </c>
      <c r="B120" s="65"/>
      <c r="C120" s="134"/>
      <c r="D120" s="54"/>
      <c r="E120" s="135"/>
      <c r="F120" s="397" t="s">
        <v>239</v>
      </c>
      <c r="H120" s="209">
        <f>438929.99/F122</f>
        <v>80466.89056773954</v>
      </c>
      <c r="I120" s="1" t="s">
        <v>307</v>
      </c>
    </row>
    <row r="121" spans="1:9" ht="12.75" customHeight="1">
      <c r="A121" s="5" t="s">
        <v>240</v>
      </c>
      <c r="B121" s="65" t="s">
        <v>241</v>
      </c>
      <c r="C121" s="134">
        <v>43159</v>
      </c>
      <c r="D121" s="79"/>
      <c r="E121" s="162">
        <f>(254802-3136.22-1954.45-3164.96-1832.69-3193.98-2066.68-3223.25-2001.63-3252.8-2123.16-3282.62-2758.59-3312.71-15740.89-3343.08-8453.11-3373.72-3404.65-3435.86-3467.35-3499.14-3531.21-3563.58-3596.25-3629.21-3662.48-3696.05-3729.93-3764.12-3798.63-3833.45-3868.59-3904.05-3939.84-3975.95-4012.4-4049.18-4086.3-4123.76-4161.56-4199.7-4238.2-4277.05-4316.26-4355.82)*F122</f>
        <v>438929.9869031002</v>
      </c>
      <c r="F121" s="398"/>
      <c r="G121" s="334"/>
      <c r="H121" s="63">
        <v>4355.382</v>
      </c>
      <c r="I121" s="13" t="s">
        <v>308</v>
      </c>
    </row>
    <row r="122" spans="1:9" ht="12.75">
      <c r="A122" s="127" t="s">
        <v>166</v>
      </c>
      <c r="B122" s="65" t="s">
        <v>242</v>
      </c>
      <c r="C122" s="134">
        <v>43677</v>
      </c>
      <c r="D122" s="79"/>
      <c r="E122" s="162">
        <f>4526774-125801.24-63347.73-64050.03-67039.22-65540.67-68189.45-67751.04-69388.23-69003.86-62428.07-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+0.04-45831.5-45831.5-45831.5-0.5-45831.5-45831.5-45831.5-45831.5-45831.5</f>
        <v>1558490.4999999995</v>
      </c>
      <c r="F122" s="138">
        <v>5.45479</v>
      </c>
      <c r="G122" s="63" t="s">
        <v>243</v>
      </c>
      <c r="H122" s="63">
        <f>H120+H121</f>
        <v>84822.27256773954</v>
      </c>
      <c r="I122" s="1" t="s">
        <v>306</v>
      </c>
    </row>
    <row r="123" spans="1:7" ht="12.75">
      <c r="A123" s="5"/>
      <c r="B123" s="65"/>
      <c r="C123" s="134"/>
      <c r="D123" s="79"/>
      <c r="E123" s="162"/>
      <c r="F123" s="163"/>
      <c r="G123" s="63">
        <f>E121+E122</f>
        <v>1997420.4869030998</v>
      </c>
    </row>
    <row r="124" spans="1:6" ht="12.75">
      <c r="A124" s="125" t="s">
        <v>341</v>
      </c>
      <c r="B124" s="65"/>
      <c r="C124" s="134"/>
      <c r="D124" s="79"/>
      <c r="E124" s="162"/>
      <c r="F124" s="163"/>
    </row>
    <row r="125" spans="1:6" ht="12.75">
      <c r="A125" s="127" t="s">
        <v>351</v>
      </c>
      <c r="B125" s="159" t="s">
        <v>352</v>
      </c>
      <c r="C125" s="134">
        <v>45743</v>
      </c>
      <c r="D125" s="79"/>
      <c r="E125" s="162">
        <f>3444122-18915-19062-19210-19359-19509-19660-19812-19966-20120-20276-20433-20592</f>
        <v>3207208</v>
      </c>
      <c r="F125" s="163"/>
    </row>
    <row r="126" spans="1:6" ht="12.75">
      <c r="A126" s="5"/>
      <c r="B126" s="65"/>
      <c r="C126" s="134"/>
      <c r="D126" s="79"/>
      <c r="E126" s="162"/>
      <c r="F126" s="163"/>
    </row>
    <row r="127" spans="1:7" ht="13.5">
      <c r="A127" s="125" t="s">
        <v>89</v>
      </c>
      <c r="B127" s="65"/>
      <c r="C127" s="134"/>
      <c r="D127" s="54"/>
      <c r="E127" s="54"/>
      <c r="G127" s="164"/>
    </row>
    <row r="128" spans="1:6" ht="13.5">
      <c r="A128" s="5" t="s">
        <v>167</v>
      </c>
      <c r="B128" s="327" t="s">
        <v>206</v>
      </c>
      <c r="C128" s="134">
        <v>46253</v>
      </c>
      <c r="D128" s="54"/>
      <c r="E128" s="54">
        <f>1500000-8928.57-8928.57-8928.57-8928.57-25000-25000-25000-25000-25000-25000-38571.42-25000-6428.57-25000-6428.57-25000-6428.57-25000-6428.57-25000-25000-25000-25000-25000-25000-18867.92-18867.92-18867.92-18867.92-18867.92-18867.92-18867.92-18867.92-18867.92-0-18867.92-18867.92-0-18867.92-18867.92-18867.92-18867.92-18867.92-18867.92-18867.92-18867.92-18867.92-18867.92-18867.92-18867.92-18867.92-18867.92-18867.92-18867.92-18867.92-18867.92</f>
        <v>452830.33999999857</v>
      </c>
      <c r="F128" s="148"/>
    </row>
    <row r="129" spans="1:7" ht="15.75" customHeight="1">
      <c r="A129" s="5" t="str">
        <f>'[1] DEUDA MUNICIPIOS NO AVALADOS'!A119</f>
        <v>M024 BANOBRAS/NACOZARI 10550 8,4 MDP</v>
      </c>
      <c r="B129" s="327" t="s">
        <v>244</v>
      </c>
      <c r="C129" s="134">
        <v>44711</v>
      </c>
      <c r="D129" s="54"/>
      <c r="E129" s="54">
        <f>8318914.89-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</f>
        <v>4763822.890000007</v>
      </c>
      <c r="F129" s="148"/>
      <c r="G129" s="63">
        <f>E128+E129+E130</f>
        <v>10595107.100000016</v>
      </c>
    </row>
    <row r="130" spans="1:6" ht="15.75" customHeight="1">
      <c r="A130" s="5" t="str">
        <f>'[1] DEUDA MUNICIPIOS NO AVALADOS'!A120</f>
        <v>FFRES 0040-13 7 mdp</v>
      </c>
      <c r="B130" s="327" t="s">
        <v>206</v>
      </c>
      <c r="C130" s="134">
        <v>46887</v>
      </c>
      <c r="D130" s="54"/>
      <c r="E130" s="54">
        <f>2242233.22-38913.89-38913.89+823185.96-38913.89+618786.67+618786.67-38913.89-38913.89+789132.2-38913.89+841209.07-38913.89-38913.89+635209.56-38913.89-38913.89+347712.6-38913.89-38913.89-38913.89+96581.3-38913.89-38913.89-38913.89-38913.89-38913.89-38913.89-38913.89-38913.89-38913.89-38913.89-38913.89-38913.89-38913.89-38913.89-38913.89-38913.89-38913.89-38913.89-38913.89-38913.89-38913.89-38913.89-38913.89-38913.89-38913.89-38913.89-38913.89-38913.89-38913.89</f>
        <v>5378453.870000011</v>
      </c>
      <c r="F130" s="335"/>
    </row>
    <row r="131" spans="1:6" ht="13.5">
      <c r="A131" s="5"/>
      <c r="B131" s="65"/>
      <c r="C131" s="65"/>
      <c r="D131" s="54"/>
      <c r="E131" s="54"/>
      <c r="F131" s="148"/>
    </row>
    <row r="132" spans="1:6" ht="13.5">
      <c r="A132" s="125" t="s">
        <v>169</v>
      </c>
      <c r="B132" s="65"/>
      <c r="C132" s="5"/>
      <c r="D132" s="54"/>
      <c r="E132" s="54"/>
      <c r="F132" s="148"/>
    </row>
    <row r="133" spans="1:6" ht="13.5">
      <c r="A133" s="5" t="s">
        <v>170</v>
      </c>
      <c r="B133" s="159" t="s">
        <v>245</v>
      </c>
      <c r="C133" s="134">
        <v>48883</v>
      </c>
      <c r="D133" s="54">
        <v>4489950</v>
      </c>
      <c r="E133" s="54">
        <f>149384604-282078-283771-285473-287186-288909-290643-292387-294141-295906-297681-299467-301264-303072-304890-306719-308560-310411-312274-314147-316032-317928-319836-321755-323685-325628-327581-329547-331524-333513-335514-337527-339553-341590-343639</f>
        <v>138780773</v>
      </c>
      <c r="F133" s="148"/>
    </row>
    <row r="134" spans="1:6" ht="13.5">
      <c r="A134" s="5"/>
      <c r="B134" s="65"/>
      <c r="C134" s="65"/>
      <c r="D134" s="54"/>
      <c r="E134" s="54"/>
      <c r="F134" s="148"/>
    </row>
    <row r="135" spans="1:5" ht="13.5">
      <c r="A135" s="125" t="s">
        <v>174</v>
      </c>
      <c r="B135" s="65"/>
      <c r="C135" s="134"/>
      <c r="D135" s="54"/>
      <c r="E135" s="135"/>
    </row>
    <row r="136" spans="1:5" ht="13.5">
      <c r="A136" s="127" t="str">
        <f>' DEUDA MUNICIPIOS NO AVALADOS'!A139</f>
        <v>INTERACCIONES 330025770 $ 80 mdp</v>
      </c>
      <c r="B136" s="159" t="s">
        <v>411</v>
      </c>
      <c r="C136" s="134">
        <v>43100</v>
      </c>
      <c r="D136" s="54"/>
      <c r="E136" s="177">
        <f>80000000-4342168-4394781-4331263-4385846-4302219-4293757</f>
        <v>53949966</v>
      </c>
    </row>
    <row r="137" spans="1:7" ht="13.5">
      <c r="A137" s="5" t="str">
        <f>' DEUDA MUNICIPIOS NO AVALADOS'!A140</f>
        <v>INTERACCIONES 300005940 $579mdp</v>
      </c>
      <c r="B137" s="274" t="s">
        <v>427</v>
      </c>
      <c r="C137" s="336">
        <v>49003</v>
      </c>
      <c r="D137" s="149">
        <v>17392842.03</v>
      </c>
      <c r="E137" s="273">
        <f>579761401</f>
        <v>579761401</v>
      </c>
      <c r="G137" s="63">
        <f>E136+E137+E140+E141</f>
        <v>741491128.17</v>
      </c>
    </row>
    <row r="138" spans="1:5" ht="13.5">
      <c r="A138" s="5"/>
      <c r="B138" s="65"/>
      <c r="C138" s="134"/>
      <c r="D138" s="54"/>
      <c r="E138" s="135"/>
    </row>
    <row r="139" spans="1:5" ht="14.25" customHeight="1">
      <c r="A139" s="125" t="s">
        <v>171</v>
      </c>
      <c r="B139" s="65"/>
      <c r="C139" s="134"/>
      <c r="D139" s="54"/>
      <c r="E139" s="135"/>
    </row>
    <row r="140" spans="1:6" ht="13.5">
      <c r="A140" s="5" t="s">
        <v>172</v>
      </c>
      <c r="B140" s="65" t="s">
        <v>246</v>
      </c>
      <c r="C140" s="134">
        <v>46477</v>
      </c>
      <c r="D140" s="54"/>
      <c r="E140" s="54">
        <f>97680136.92-257100.99-307557.86-260042.71-277674.55-262844.06-280399.66-265674.21-267058.3-284499.21-269931.76-287294.46-272834.76-274256.15-323133.57-277368.38-294528.69-280347.81-297427.02-283357.86-284834.07-301791.18-287890.23-304764.16-290977.79-292493.7-324467.18-295707.9-312369.06-298875.81-315450.76-302076.28-303650.02-320095.03-306899.55-323256.12-310182.49-311798.45-357219.41-315283.85-331412.23-318652.96-334689.64-322056.69-323734.52-339632.9-327190.48-342994.8-330681.96-332404.72-375928.48-336094.94-351656.91-339677.93-355142.39-343297.75-345086.24-360403.51-348761.65-363978.88-352474.83-354311.12-395817.99-358219.09-373178.92-362029.47-376885.6-365879.01-367785.14-382484.62-371693.83-386286.94-375642.7-377599.7-0.33-404497.24+0.24-381674.21-395995.68-385725.65-399936.86-389818.73-391849.58-405894.12</f>
        <v>71017561.17</v>
      </c>
      <c r="F140" s="148"/>
    </row>
    <row r="141" spans="1:6" ht="13.5">
      <c r="A141" s="5" t="s">
        <v>173</v>
      </c>
      <c r="B141" s="65" t="s">
        <v>247</v>
      </c>
      <c r="C141" s="134">
        <v>47848</v>
      </c>
      <c r="D141" s="54"/>
      <c r="E141" s="54">
        <f>40000000-51520-52000-64680-53080-65760-54200-54720-91560-56120-68720-57320-69880-58520-59040-71560-60280-72800-61560-62160-98320-63680-76080-65000-77360-66320-66960-79280-68360-80640-69760-70400-105840-72080-84320-73560-85760-75080-75800-87920-77360-89440-78920-79680-103000-81400</f>
        <v>36762200</v>
      </c>
      <c r="F141" s="148"/>
    </row>
    <row r="142" ht="13.5">
      <c r="E142" s="3"/>
    </row>
    <row r="143" ht="13.5">
      <c r="A143" s="125" t="s">
        <v>176</v>
      </c>
    </row>
    <row r="144" spans="1:8" s="5" customFormat="1" ht="13.5">
      <c r="A144" s="5" t="s">
        <v>177</v>
      </c>
      <c r="B144" s="65" t="s">
        <v>206</v>
      </c>
      <c r="C144" s="86">
        <v>46420</v>
      </c>
      <c r="E144" s="63">
        <f>2500000-13888.89-13888.89-13888.89-13888.89-13888.89-13888.89+0.01-13888.89-13888.89-13888.89-13888.89-13888.89-13888.89-13888.89-13888.89-13888.89+0.01-13640.87-13640.87-13640.87-13640.87-13640.87-13640.87-13640.87-13640.87-13640.87-13640.87-13640.87-13640.87-13640.87-13640.87-13640.87-13640.87-13640.87-13640.87-13640.87-13640.87-13640.87-13640.87-13640.87-13640.87-13640.87-13640.87-13640.87-13640.87-13640.87</f>
        <v>1896081.4399999944</v>
      </c>
      <c r="F144" s="165"/>
      <c r="G144" s="63">
        <f>E144+E145</f>
        <v>5728685.519999996</v>
      </c>
      <c r="H144" s="63"/>
    </row>
    <row r="145" spans="1:8" s="5" customFormat="1" ht="13.5">
      <c r="A145" s="1" t="s">
        <v>178</v>
      </c>
      <c r="B145" s="166">
        <v>0.07</v>
      </c>
      <c r="C145" s="86">
        <v>46711</v>
      </c>
      <c r="E145" s="63">
        <f>1444501.49-28846.15+1764492.91-28846.15-28846.15-28846.15-28846.15+469183-28846.15-28846.15-28846.15+817888.13-28846.15-28846.15-28846.15-28846.15-28846.15-28846.15-28846.15-28846.15-28846.15-28846.15-28846.15-28846.15-28846.15-28846.15-28846.15</f>
        <v>3832604.0800000015</v>
      </c>
      <c r="F145" s="165"/>
      <c r="G145" s="63"/>
      <c r="H145" s="63"/>
    </row>
    <row r="146" spans="1:8" s="5" customFormat="1" ht="13.5">
      <c r="A146" s="1"/>
      <c r="B146" s="166"/>
      <c r="C146" s="86"/>
      <c r="E146" s="63"/>
      <c r="F146" s="165"/>
      <c r="G146" s="63"/>
      <c r="H146" s="63"/>
    </row>
    <row r="147" spans="1:8" s="5" customFormat="1" ht="13.5">
      <c r="A147" s="125" t="s">
        <v>335</v>
      </c>
      <c r="B147" s="167"/>
      <c r="C147" s="86"/>
      <c r="E147" s="63"/>
      <c r="F147" s="165"/>
      <c r="G147" s="63"/>
      <c r="H147" s="63"/>
    </row>
    <row r="148" spans="1:8" s="129" customFormat="1" ht="13.5">
      <c r="A148" s="129" t="s">
        <v>345</v>
      </c>
      <c r="B148" s="337" t="s">
        <v>350</v>
      </c>
      <c r="C148" s="319">
        <v>45743</v>
      </c>
      <c r="E148" s="132">
        <f>4428157-24320-24508-24698-24890-25082-25277-25473-25670-25869-26070-26272-26475</f>
        <v>4123553</v>
      </c>
      <c r="F148" s="338"/>
      <c r="G148" s="132"/>
      <c r="H148" s="132"/>
    </row>
    <row r="150" spans="1:5" ht="13.5">
      <c r="A150" s="125" t="str">
        <f>'[1] DEUDA MUNICIPIOS NO AVALADOS'!A139</f>
        <v>OQUITOA</v>
      </c>
      <c r="E150" s="63"/>
    </row>
    <row r="151" spans="1:7" ht="13.5">
      <c r="A151" s="1" t="str">
        <f>'[1] DEUDA MUNICIPIOS NO AVALADOS'!A140</f>
        <v>FFRES 0032-11</v>
      </c>
      <c r="B151" s="65" t="s">
        <v>206</v>
      </c>
      <c r="C151" s="112">
        <v>46529</v>
      </c>
      <c r="E151" s="63">
        <f>4800000-26666.67-26666.67+0.01-26666.67-26666.67-26666.67-26666.67+0.01-26666.67-26666.67-26666.67+0.01-26666.67+0.01-26666.67-26825.4-26825.4-26825.4-26825.4-26825.4-26825.4-26825.4-26825.4-26825.4-26825.4-26825.4-26825.4-26825.4-26825.4-26825.4-26825.4-26825.4-26825.4-26825.4-26825.4-26825.4-26825.4-26825.4-26825.4-26825.4-26825.4-26825.4-26825.4-26825.4</f>
        <v>3728730.0699999975</v>
      </c>
      <c r="F151" s="395"/>
      <c r="G151" s="395"/>
    </row>
    <row r="153" spans="1:7" ht="13.5">
      <c r="A153" s="125" t="s">
        <v>90</v>
      </c>
      <c r="B153" s="65"/>
      <c r="C153" s="5"/>
      <c r="D153" s="54"/>
      <c r="E153" s="54"/>
      <c r="G153" s="63">
        <f>E154+E155</f>
        <v>112238865.29</v>
      </c>
    </row>
    <row r="154" spans="1:6" ht="13.5">
      <c r="A154" s="5" t="s">
        <v>248</v>
      </c>
      <c r="B154" s="65" t="s">
        <v>206</v>
      </c>
      <c r="C154" s="134">
        <v>44552</v>
      </c>
      <c r="D154" s="339"/>
      <c r="E154" s="54">
        <f>46130952.35-29823436.53-295956.33+235128.9-293096.24-294155.78-294780.91-293825.45-290466.29-289630.43</f>
        <v>14490733.290000003</v>
      </c>
      <c r="F154" s="144">
        <v>17</v>
      </c>
    </row>
    <row r="155" spans="1:7" ht="13.5">
      <c r="A155" s="324" t="s">
        <v>396</v>
      </c>
      <c r="B155" s="159" t="s">
        <v>305</v>
      </c>
      <c r="C155" s="134">
        <v>44043</v>
      </c>
      <c r="D155" s="340">
        <v>3800000</v>
      </c>
      <c r="E155" s="162">
        <f>42920000+55080000-82957-83952-84959</f>
        <v>97748132</v>
      </c>
      <c r="F155" s="341" t="s">
        <v>304</v>
      </c>
      <c r="G155" s="341"/>
    </row>
    <row r="157" ht="13.5">
      <c r="A157" s="125" t="s">
        <v>182</v>
      </c>
    </row>
    <row r="158" spans="1:6" ht="13.5">
      <c r="A158" s="5" t="s">
        <v>183</v>
      </c>
      <c r="B158" s="65" t="s">
        <v>206</v>
      </c>
      <c r="C158" s="112">
        <v>46257</v>
      </c>
      <c r="E158" s="54">
        <f>5000000-29761.9-29761.9-29761.9-29761.9-29761.9+7936.46-27777.78-7936.46-27777.78-27777.78-27777.78-27777.78-27777.78+9921.04-27777.78-222.22-27777.78-27777.78+222.23-27777.78-27777.78-27777.78-27777.78+0.01-27777.78-26620.37-26620.37+0.01-26620.37-0.01-26620.37-0.01-26620.37-0.01+0.02-26620.37-26620.37-26620.37-26620.37-0-26620.37-0-26620.37-26620.37-26620.37-26620.37-26620.37-26620.37-26620.37-26620.37-26620.37-26620.37-26620.37-26620.37-26620.37-26620.37-26620.37-26620.37-26620.37-26620.37-26620.37-26620.37</f>
        <v>3673611.5399999917</v>
      </c>
      <c r="F158" s="148"/>
    </row>
    <row r="159" ht="13.5">
      <c r="F159" s="148"/>
    </row>
    <row r="160" spans="1:5" ht="15" customHeight="1">
      <c r="A160" s="125" t="s">
        <v>91</v>
      </c>
      <c r="B160" s="65"/>
      <c r="C160" s="134"/>
      <c r="D160" s="54"/>
      <c r="E160" s="54"/>
    </row>
    <row r="161" spans="1:6" ht="15.75" customHeight="1">
      <c r="A161" s="5" t="s">
        <v>193</v>
      </c>
      <c r="B161" s="65" t="s">
        <v>206</v>
      </c>
      <c r="C161" s="134">
        <v>46025</v>
      </c>
      <c r="D161" s="54"/>
      <c r="E161" s="54">
        <f>2000000-23738.66-11904.76-11904.76+11833.9-11904.76-11904.76-11904.76-0.01-11904.76-11904.76-11904.76-11904.76-11904.76-11904.77-11904.76-11904.76-11904.76-11904.76-0.01-11904.76-11904.76-10700.11-10700.11-10700.11-10700.11-10700.11-0.03-10700.11+30-10700.11-30+0.03-10700.11-10700.11-10700.11-10700.11-0-10700.11-10700.11-10700.11-10700.11-10700.11-10700.11-10700.11-10700.11-10700.11-10700.11-10700.11-10700.11-10700.11-10700.11-10700.11</f>
        <v>1507511.4299999971</v>
      </c>
      <c r="F161" s="148"/>
    </row>
    <row r="162" spans="1:7" ht="13.5">
      <c r="A162" s="127" t="s">
        <v>194</v>
      </c>
      <c r="B162" s="65" t="s">
        <v>206</v>
      </c>
      <c r="C162" s="134">
        <v>46056</v>
      </c>
      <c r="D162" s="54"/>
      <c r="E162" s="54">
        <f>3026076-18012.36-16811.53-16811.53-16811.53-16811.53-16811.53-16811.53+1200.81-16811.53-16811.53-16811.53-16811.53-16811.53-16811.53-16811.53-0.02-16811.53-16811.53-0.01-16811.53-16811.53-16811.53-0.01-16211.12-16211.12-16211.12-16211.12-16211.12-16211.12-16211.12-16211.12-16211.12-16211.12-16211.12-0-16211.12-16211.12-16211.12-16211.12-16211.12-16211.12-16211.12-16211.12-16211.12-16211.12-16211.12-16211.12-16211.12-16211.12-16211.12</f>
        <v>2285167.7500000014</v>
      </c>
      <c r="F162" s="148"/>
      <c r="G162" s="63">
        <f>E161+E162+E163</f>
        <v>6196012.54</v>
      </c>
    </row>
    <row r="163" spans="1:6" ht="13.5">
      <c r="A163" s="5" t="s">
        <v>195</v>
      </c>
      <c r="B163" s="65">
        <v>3.2975</v>
      </c>
      <c r="C163" s="134">
        <v>45189</v>
      </c>
      <c r="D163" s="54"/>
      <c r="E163" s="54">
        <f>1544872.56-28611.11-28611.11+90000-28611.11-28611.11-28611.11-28611.11-28611.11-28611.11-28611.11+760278.01-28611.11+694849.43-28611.11-28611.11-28611.11-28611.11-28611.11-28611.11-28611.11-28611.11-28611.11-28611.11-28611.11-28611.11-28611.11-28611.11</f>
        <v>2403333.3600000013</v>
      </c>
      <c r="F163" s="148"/>
    </row>
    <row r="164" spans="5:6" ht="13.5">
      <c r="E164" s="74"/>
      <c r="F164" s="148"/>
    </row>
    <row r="165" spans="1:6" ht="13.5">
      <c r="A165" s="125" t="s">
        <v>196</v>
      </c>
      <c r="E165" s="74"/>
      <c r="F165" s="148"/>
    </row>
    <row r="166" spans="1:6" ht="13.5">
      <c r="A166" s="1" t="s">
        <v>197</v>
      </c>
      <c r="B166" s="342">
        <v>0.07</v>
      </c>
      <c r="C166" s="112">
        <v>46711</v>
      </c>
      <c r="D166" s="1" t="s">
        <v>123</v>
      </c>
      <c r="E166" s="74">
        <f>659315.68-13205.13+300548-13205.13-13205.13+542369.4+258540.89-13205.13-13205.13+296936.74-13205.13-13205.13-13205.13-13205.13-13205.13-13205.13-13205.13-13205.13-13205.13-13205.13-13205.13-13205.13-13205.13-13205.13-13205.13-13205.13-13205.13-13205.13</f>
        <v>1753992.7200000023</v>
      </c>
      <c r="F166" s="148"/>
    </row>
    <row r="167" spans="5:6" ht="13.5">
      <c r="E167" s="74"/>
      <c r="F167" s="148"/>
    </row>
    <row r="168" spans="1:6" ht="13.5">
      <c r="A168" s="125" t="s">
        <v>184</v>
      </c>
      <c r="E168" s="74"/>
      <c r="F168" s="148"/>
    </row>
    <row r="169" spans="1:7" ht="13.5">
      <c r="A169" s="5" t="s">
        <v>185</v>
      </c>
      <c r="B169" s="65" t="s">
        <v>249</v>
      </c>
      <c r="C169" s="112">
        <v>47087</v>
      </c>
      <c r="E169" s="74">
        <f>112500000-346725-379237.5+0.5-352687.5-0.5-355500-417150-361912.5-393975-368100-400050+0.5-374400</f>
        <v>108750263</v>
      </c>
      <c r="F169" s="148"/>
      <c r="G169" s="63">
        <f>E169+E172+E173</f>
        <v>143526644.60000005</v>
      </c>
    </row>
    <row r="170" spans="5:6" ht="13.5">
      <c r="E170" s="74"/>
      <c r="F170" s="148"/>
    </row>
    <row r="171" spans="1:5" ht="13.5">
      <c r="A171" s="125" t="s">
        <v>187</v>
      </c>
      <c r="B171" s="65"/>
      <c r="C171" s="134"/>
      <c r="D171" s="54"/>
      <c r="E171" s="135"/>
    </row>
    <row r="172" spans="1:6" ht="13.5">
      <c r="A172" s="5" t="s">
        <v>188</v>
      </c>
      <c r="B172" s="65" t="s">
        <v>250</v>
      </c>
      <c r="C172" s="134">
        <v>43738</v>
      </c>
      <c r="D172" s="54"/>
      <c r="E172" s="54">
        <f>67190800-409180-411640-413280-415740-417380-419840-421480-423940-426400-428040-430500-432140-434600-437060-438700-441160-443620-446080-447720-450180-452640-454280-456740-459200-461660-464120-465760-468220-470680-473140-475600-478060-480520-482980-485440-487900-490360-492820-495280-497740-500200-502660-505120-507580-510040-512500-514960-517420-519880-523160-525620-528080-530540-533000-536280-538740-541200-544480-546940-549400-552680-555140-557600-560880-563340-566620-569080-571540-574820-577280-580560-583840-586300-589580-592040-595320-597780-601060-604340-606800-610080</f>
        <v>26424500</v>
      </c>
      <c r="F172" s="148"/>
    </row>
    <row r="173" spans="1:8" ht="13.5">
      <c r="A173" s="5" t="s">
        <v>189</v>
      </c>
      <c r="B173" s="65" t="s">
        <v>251</v>
      </c>
      <c r="C173" s="134">
        <v>44985</v>
      </c>
      <c r="D173" s="54"/>
      <c r="E173" s="54">
        <f>16920000-108457.2-108457.2-108457.2-108457.2-108457.2-108457.2-108457.2-108457.2-108457.2-108457.2-108457.2-108457.2-108457.2-108457.2-108457.2-108457.2-108457.2-108457.2-108457.2-108457.2-1084557.2+887643.2-108457.2-108457.2-10000-108457.2-10000-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-0.2-108457.2+0.2-108457.2-108457.2-108457.2-108457.2-108457.2-108457.2-108457.2</f>
        <v>8351881.600000056</v>
      </c>
      <c r="F173" s="335"/>
      <c r="H173" s="8"/>
    </row>
    <row r="174" spans="5:6" ht="13.5">
      <c r="E174" s="3"/>
      <c r="F174" s="148"/>
    </row>
    <row r="175" spans="1:6" ht="13.5">
      <c r="A175" s="125" t="s">
        <v>190</v>
      </c>
      <c r="E175" s="3"/>
      <c r="F175" s="148"/>
    </row>
    <row r="176" spans="1:6" ht="13.5">
      <c r="A176" s="5" t="s">
        <v>191</v>
      </c>
      <c r="B176" s="65" t="s">
        <v>206</v>
      </c>
      <c r="C176" s="112">
        <v>47021</v>
      </c>
      <c r="E176" s="3">
        <f>661685.04-13888.89-13888.89+1208041.55-13888.89-13888.89-13888.89-13888.89-13888.89+50846.53-13888.89+265598-13888.89+313331.12-13888.89+0.06-13888.89-13888.89-13888.89-13888.89-13888.89-13888.89-13888.89-13888.89-13888.89-13888.89-13888.89-13888.89-13888.89-13888.89-13888.89-13888.89-13888.89-13888.89-13888.89-13888.89-13888.89-13888.89-13888.89-13888.89-13888.89-13888.89</f>
        <v>1999502.2599999993</v>
      </c>
      <c r="F176" s="148"/>
    </row>
    <row r="177" spans="5:6" ht="13.5">
      <c r="E177" s="3"/>
      <c r="F177" s="148"/>
    </row>
    <row r="178" spans="1:6" ht="13.5">
      <c r="A178" s="125" t="str">
        <f>' DEUDA MUNICIPIOS NO AVALADOS'!A170</f>
        <v>SAN IGNACIO RIO MUERTO</v>
      </c>
      <c r="E178" s="3"/>
      <c r="F178" s="148"/>
    </row>
    <row r="179" spans="1:6" ht="13.5">
      <c r="A179" s="127" t="str">
        <f>' DEUDA MUNICIPIOS NO AVALADOS'!A171</f>
        <v>Fintegra 30 mdp 2014</v>
      </c>
      <c r="B179" s="68" t="s">
        <v>357</v>
      </c>
      <c r="C179" s="112">
        <v>46265</v>
      </c>
      <c r="E179" s="3">
        <f>29659955.03-160845.2-161649.42-162457.67-163269.96-164086.31-164906.74-165731.27-166559.93-167392.73-168228.69-1-169070.84-169916.2</f>
        <v>27675839.07</v>
      </c>
      <c r="F179" s="148"/>
    </row>
    <row r="180" spans="5:6" ht="13.5">
      <c r="E180" s="3"/>
      <c r="F180" s="148"/>
    </row>
    <row r="181" spans="1:5" ht="13.5">
      <c r="A181" s="125" t="s">
        <v>92</v>
      </c>
      <c r="B181" s="65"/>
      <c r="C181" s="134"/>
      <c r="D181" s="54"/>
      <c r="E181" s="54"/>
    </row>
    <row r="182" spans="1:6" ht="13.5">
      <c r="A182" s="5" t="s">
        <v>192</v>
      </c>
      <c r="B182" s="65" t="s">
        <v>206</v>
      </c>
      <c r="C182" s="134">
        <v>43561</v>
      </c>
      <c r="D182" s="54" t="s">
        <v>123</v>
      </c>
      <c r="E182" s="54">
        <f>5519706-32855.39-32855.39-32855.39-32855.39-32855.39-32855.39-32855.39-32855.39-32855.39-32855.39-32855.39-32855.39-32855.39-32855.39-32855.39-32855.39-32855.39-32855.39-32855.39-32855.39-32855.39-32855.39-32855.39-32855.39-32855.39-32855.39-32855.39-32855.39-0.08-32855.39-32855.39-32855.39-32855.39-0.01-32855.39-32855.39-0.01-32855.39-32855.39-32855.39-0.01-32855.39-32855.39-32855.39-32855.39-0.01-32855.39-32855.39-32855.39-32855.39-0.01-32855.39-32855.39-32855.39-32855.39-0.01-32855.39-32855.39-32855.39-32855.39-32855.39-32855.39-32855.39-32855.39-32855.39-32855.39-32855.39-32855.39-32855.39-32855.39-32855.39-32855.39-32855.39-0.05-32855.39-32855.39-32855.39-0.01-32855.39-32855.39-32855.39-32855.39-0.01-32855.39-32855.39-32855.39-32855.39-32855.39</f>
        <v>2956985.3700000104</v>
      </c>
      <c r="F182" s="330"/>
    </row>
    <row r="183" spans="1:5" ht="13.5">
      <c r="A183" s="5"/>
      <c r="B183" s="65"/>
      <c r="C183" s="134"/>
      <c r="D183" s="54" t="s">
        <v>98</v>
      </c>
      <c r="E183" s="54"/>
    </row>
    <row r="184" ht="13.5">
      <c r="A184" s="125" t="s">
        <v>93</v>
      </c>
    </row>
    <row r="185" spans="1:6" ht="13.5">
      <c r="A185" s="5" t="s">
        <v>252</v>
      </c>
      <c r="B185" s="65" t="s">
        <v>206</v>
      </c>
      <c r="C185" s="134">
        <v>46371</v>
      </c>
      <c r="E185" s="63">
        <f>9800000-54444.44-54444.44-54444.44-54444.44-0.02-54444.44-54444.44-54444.44-54444.44-0.02-54444.44-54444.44-54444.44-27222.22-54444.44-27222.22-0.01-54444.44-27222.22-54444.44-27222.22-0.01-53148.14-53148.14-53148.14-53148.14-53148.14-53148.14-53148.14-53148.14-53148.14-53148.14-53148.14-53148.14-53148.14-53148.14-53148.14-53148.14-53148.14+0.2-53148.14-53148.14-53148.14-53148.14-53148.14-53148.14-53148.14-53148.14-53148.14-53148.14-53148.14-53148.14-0.2</f>
        <v>7387592.840000006</v>
      </c>
      <c r="F185" s="165"/>
    </row>
    <row r="186" spans="1:3" ht="13.5">
      <c r="A186" s="168"/>
      <c r="C186" s="169"/>
    </row>
    <row r="187" spans="1:3" ht="13.5">
      <c r="A187" s="125" t="str">
        <f>'[1] DEUDA MUNICIPIOS NO AVALADOS'!A176</f>
        <v>URES</v>
      </c>
      <c r="C187" s="169"/>
    </row>
    <row r="188" spans="1:7" ht="13.5">
      <c r="A188" s="5" t="str">
        <f>'[1] DEUDA MUNICIPIOS NO AVALADOS'!A177</f>
        <v>FFRES 0035-12</v>
      </c>
      <c r="B188" s="65" t="s">
        <v>206</v>
      </c>
      <c r="C188" s="134">
        <v>46538</v>
      </c>
      <c r="E188" s="63">
        <f>6600000-36666.67-36666.67+0.01-36666.67-36666.67-36666.67-36666.67+0.01-36666.67-36666.67-36666.67+0.01-36666.67-36666.67+0.01-36666.67-36666.67-36666.67+0.01-36666.67-36666.67+0.01-36666.67-36666.67-36666.67-36666.67-36666.67+0.01-36666.67-36666.67-36666.67-36666.67+0.01-36666.67-36666.67+0.01-36666.67-36666.67-36666.67-36666.67+0.01-36666.67-36666.67-36666.67-36666.67-36666.67-36666.67-36666.67-36666.67-36666.67+0.03-36666.67-36666.67+0.01-36666.67-36666.67-36666.67+0.01-36666.67+0.01-36666.67-36666.67-36666.67-36666.67-36666.67</f>
        <v>4729999.990000001</v>
      </c>
      <c r="F188" s="395" t="s">
        <v>394</v>
      </c>
      <c r="G188" s="395"/>
    </row>
    <row r="189" spans="1:3" ht="13.5">
      <c r="A189" s="168"/>
      <c r="C189" s="169"/>
    </row>
    <row r="190" spans="1:3" ht="13.5">
      <c r="A190" s="125" t="s">
        <v>200</v>
      </c>
      <c r="C190" s="169"/>
    </row>
    <row r="191" spans="1:6" ht="13.5">
      <c r="A191" s="127" t="s">
        <v>201</v>
      </c>
      <c r="B191" s="65" t="s">
        <v>206</v>
      </c>
      <c r="C191" s="134">
        <v>46420</v>
      </c>
      <c r="E191" s="63">
        <f>3500000-19444.44-19444.44-1944.44-17500-19444.46-19444.44-19444.44-0.01+19444.44-38888.88-19444.44-19444.44-19444.44-0.01-19444.44-19444.44-19444.44-0.02-19444.44-0.02+0.02-19212.96-19212.96-19212.96-19212.96-19212.96-19212.96-19212.96-19212.96-19212.96-0-19212.96-19212.96-19212.96-19212.96-19212.96-19212.96-19212.96-19212.96-19212.96-19212.96-19212.96-19212.96-19212.96-19212.96-19212.96-19212.96-19212.96-19212.96-19212.96-19212.96-19212.96</f>
        <v>2651388.9800000023</v>
      </c>
      <c r="F191" s="165"/>
    </row>
    <row r="192" spans="1:6" ht="13.5">
      <c r="A192" s="127"/>
      <c r="B192" s="65"/>
      <c r="C192" s="134"/>
      <c r="E192" s="63"/>
      <c r="F192" s="165"/>
    </row>
    <row r="193" spans="1:6" ht="13.5">
      <c r="A193" s="125" t="s">
        <v>202</v>
      </c>
      <c r="B193" s="65"/>
      <c r="C193" s="134"/>
      <c r="E193" s="63"/>
      <c r="F193" s="165"/>
    </row>
    <row r="194" spans="1:6" ht="15.75">
      <c r="A194" s="1" t="s">
        <v>203</v>
      </c>
      <c r="B194" s="342">
        <v>0.07</v>
      </c>
      <c r="C194" s="134">
        <v>46588</v>
      </c>
      <c r="E194" s="63">
        <f>2759621.27-44871.79-44871.79+1783085.91+741685.51-44871.79+1022817.92-44871.79+682847.22-44871.79-44871.79-44871.79-44871.79-44871.79-44871.79-44871.79-44871.79-44871.79-44871.79-44871.79-44871.79-44871.79-44871.79-44871.79-44871.79-44871.79-44871.79</f>
        <v>6002878.449999998</v>
      </c>
      <c r="F194" s="343"/>
    </row>
    <row r="195" spans="1:6" ht="13.5">
      <c r="A195" s="170"/>
      <c r="C195" s="169"/>
      <c r="E195" s="171"/>
      <c r="F195" s="165"/>
    </row>
    <row r="196" spans="3:8" ht="14.25" thickBot="1">
      <c r="C196" s="169"/>
      <c r="D196" s="172" t="s">
        <v>19</v>
      </c>
      <c r="E196" s="173">
        <f>SUM(E5:E195)</f>
        <v>4503566362.2069025</v>
      </c>
      <c r="H196" s="174"/>
    </row>
    <row r="197" spans="3:5" ht="14.25" thickTop="1">
      <c r="C197" s="169"/>
      <c r="E197" s="3"/>
    </row>
    <row r="198" spans="3:5" ht="13.5">
      <c r="C198" s="169"/>
      <c r="E198" s="3"/>
    </row>
    <row r="199" spans="3:5" ht="13.5">
      <c r="C199" s="169"/>
      <c r="E199" s="3"/>
    </row>
    <row r="200" spans="3:5" ht="13.5">
      <c r="C200" s="169"/>
      <c r="E200" s="3"/>
    </row>
    <row r="201" spans="3:5" ht="13.5">
      <c r="C201" s="169"/>
      <c r="E201" s="3"/>
    </row>
    <row r="202" spans="1:11" s="144" customFormat="1" ht="13.5">
      <c r="A202" s="1"/>
      <c r="B202" s="68"/>
      <c r="C202" s="169"/>
      <c r="D202" s="1"/>
      <c r="E202" s="3"/>
      <c r="G202" s="63"/>
      <c r="H202" s="63"/>
      <c r="I202" s="1"/>
      <c r="J202" s="1"/>
      <c r="K202" s="1"/>
    </row>
    <row r="203" spans="1:11" s="144" customFormat="1" ht="13.5">
      <c r="A203" s="1"/>
      <c r="B203" s="68"/>
      <c r="C203" s="169"/>
      <c r="D203" s="1"/>
      <c r="E203" s="3"/>
      <c r="G203" s="63"/>
      <c r="H203" s="63"/>
      <c r="I203" s="1"/>
      <c r="J203" s="1"/>
      <c r="K203" s="1"/>
    </row>
    <row r="204" spans="1:11" s="144" customFormat="1" ht="13.5">
      <c r="A204" s="1"/>
      <c r="B204" s="68"/>
      <c r="C204" s="169"/>
      <c r="D204" s="1"/>
      <c r="E204" s="3"/>
      <c r="G204" s="63"/>
      <c r="H204" s="63"/>
      <c r="I204" s="1"/>
      <c r="J204" s="1"/>
      <c r="K204" s="1"/>
    </row>
    <row r="205" spans="1:11" s="144" customFormat="1" ht="13.5">
      <c r="A205" s="1"/>
      <c r="B205" s="68"/>
      <c r="C205" s="169"/>
      <c r="D205" s="1"/>
      <c r="E205" s="3"/>
      <c r="G205" s="63"/>
      <c r="H205" s="63"/>
      <c r="I205" s="1"/>
      <c r="J205" s="1"/>
      <c r="K205" s="1"/>
    </row>
    <row r="206" spans="1:11" s="144" customFormat="1" ht="13.5">
      <c r="A206" s="1"/>
      <c r="B206" s="68"/>
      <c r="C206" s="169"/>
      <c r="D206" s="1"/>
      <c r="E206" s="3"/>
      <c r="G206" s="63"/>
      <c r="H206" s="63"/>
      <c r="I206" s="1"/>
      <c r="J206" s="1"/>
      <c r="K206" s="1"/>
    </row>
    <row r="207" spans="1:11" s="144" customFormat="1" ht="13.5">
      <c r="A207" s="1"/>
      <c r="B207" s="68"/>
      <c r="C207" s="1"/>
      <c r="D207" s="1"/>
      <c r="E207" s="3"/>
      <c r="G207" s="63"/>
      <c r="H207" s="63"/>
      <c r="I207" s="1"/>
      <c r="J207" s="1"/>
      <c r="K207" s="1"/>
    </row>
    <row r="208" spans="1:11" s="144" customFormat="1" ht="13.5">
      <c r="A208" s="1"/>
      <c r="B208" s="68"/>
      <c r="C208" s="1"/>
      <c r="D208" s="1"/>
      <c r="E208" s="3"/>
      <c r="G208" s="63"/>
      <c r="H208" s="63"/>
      <c r="I208" s="1"/>
      <c r="J208" s="1"/>
      <c r="K208" s="1"/>
    </row>
    <row r="209" spans="1:11" s="144" customFormat="1" ht="13.5">
      <c r="A209" s="1"/>
      <c r="B209" s="68"/>
      <c r="C209" s="1"/>
      <c r="D209" s="1"/>
      <c r="E209" s="3"/>
      <c r="G209" s="63"/>
      <c r="H209" s="63"/>
      <c r="I209" s="1"/>
      <c r="J209" s="1"/>
      <c r="K209" s="1"/>
    </row>
    <row r="210" spans="1:11" s="144" customFormat="1" ht="13.5">
      <c r="A210" s="1"/>
      <c r="B210" s="68"/>
      <c r="C210" s="1"/>
      <c r="D210" s="1"/>
      <c r="E210" s="3"/>
      <c r="G210" s="63"/>
      <c r="H210" s="63"/>
      <c r="I210" s="1"/>
      <c r="J210" s="1"/>
      <c r="K210" s="1"/>
    </row>
    <row r="211" spans="1:11" s="144" customFormat="1" ht="13.5">
      <c r="A211" s="1"/>
      <c r="B211" s="68"/>
      <c r="C211" s="1"/>
      <c r="D211" s="1"/>
      <c r="E211" s="3"/>
      <c r="G211" s="63"/>
      <c r="H211" s="63"/>
      <c r="I211" s="1"/>
      <c r="J211" s="1"/>
      <c r="K211" s="1"/>
    </row>
    <row r="212" spans="1:11" s="144" customFormat="1" ht="13.5">
      <c r="A212" s="1"/>
      <c r="B212" s="68"/>
      <c r="C212" s="1"/>
      <c r="D212" s="1"/>
      <c r="E212" s="3"/>
      <c r="G212" s="63"/>
      <c r="H212" s="63"/>
      <c r="I212" s="1"/>
      <c r="J212" s="1"/>
      <c r="K212" s="1"/>
    </row>
    <row r="213" spans="1:11" s="144" customFormat="1" ht="13.5">
      <c r="A213" s="1"/>
      <c r="B213" s="68"/>
      <c r="C213" s="1"/>
      <c r="D213" s="1"/>
      <c r="E213" s="3"/>
      <c r="G213" s="63"/>
      <c r="H213" s="63"/>
      <c r="I213" s="1"/>
      <c r="J213" s="1"/>
      <c r="K213" s="1"/>
    </row>
    <row r="214" spans="1:11" s="144" customFormat="1" ht="13.5">
      <c r="A214" s="1"/>
      <c r="B214" s="68"/>
      <c r="C214" s="1"/>
      <c r="D214" s="1"/>
      <c r="E214" s="3"/>
      <c r="G214" s="63"/>
      <c r="H214" s="63"/>
      <c r="I214" s="1"/>
      <c r="J214" s="1"/>
      <c r="K214" s="1"/>
    </row>
    <row r="215" spans="1:11" s="144" customFormat="1" ht="13.5">
      <c r="A215" s="1"/>
      <c r="B215" s="68"/>
      <c r="C215" s="1"/>
      <c r="D215" s="1"/>
      <c r="E215" s="3"/>
      <c r="G215" s="63"/>
      <c r="H215" s="63"/>
      <c r="I215" s="1"/>
      <c r="J215" s="1"/>
      <c r="K215" s="1"/>
    </row>
    <row r="216" spans="1:11" s="144" customFormat="1" ht="13.5">
      <c r="A216" s="1"/>
      <c r="B216" s="68"/>
      <c r="C216" s="1"/>
      <c r="D216" s="1"/>
      <c r="E216" s="3"/>
      <c r="G216" s="63"/>
      <c r="H216" s="63"/>
      <c r="I216" s="1"/>
      <c r="J216" s="1"/>
      <c r="K216" s="1"/>
    </row>
    <row r="217" spans="1:11" s="144" customFormat="1" ht="13.5">
      <c r="A217" s="1"/>
      <c r="B217" s="68"/>
      <c r="C217" s="1"/>
      <c r="D217" s="1"/>
      <c r="E217" s="3"/>
      <c r="G217" s="63"/>
      <c r="H217" s="63"/>
      <c r="I217" s="1"/>
      <c r="J217" s="1"/>
      <c r="K217" s="1"/>
    </row>
    <row r="218" spans="1:11" s="144" customFormat="1" ht="13.5">
      <c r="A218" s="1"/>
      <c r="B218" s="68"/>
      <c r="C218" s="1"/>
      <c r="D218" s="1"/>
      <c r="E218" s="3"/>
      <c r="G218" s="63"/>
      <c r="H218" s="63"/>
      <c r="I218" s="1"/>
      <c r="J218" s="1"/>
      <c r="K218" s="1"/>
    </row>
    <row r="219" spans="1:11" s="144" customFormat="1" ht="13.5">
      <c r="A219" s="1"/>
      <c r="B219" s="68"/>
      <c r="C219" s="1"/>
      <c r="D219" s="1"/>
      <c r="E219" s="3"/>
      <c r="G219" s="63"/>
      <c r="H219" s="63"/>
      <c r="I219" s="1"/>
      <c r="J219" s="1"/>
      <c r="K219" s="1"/>
    </row>
    <row r="220" spans="1:11" s="144" customFormat="1" ht="13.5">
      <c r="A220" s="1"/>
      <c r="B220" s="68"/>
      <c r="C220" s="1"/>
      <c r="D220" s="1"/>
      <c r="E220" s="3"/>
      <c r="G220" s="63"/>
      <c r="H220" s="63"/>
      <c r="I220" s="1"/>
      <c r="J220" s="1"/>
      <c r="K220" s="1"/>
    </row>
    <row r="221" spans="1:11" s="144" customFormat="1" ht="13.5">
      <c r="A221" s="1"/>
      <c r="B221" s="68"/>
      <c r="C221" s="1"/>
      <c r="D221" s="1"/>
      <c r="E221" s="3"/>
      <c r="G221" s="63"/>
      <c r="H221" s="63"/>
      <c r="I221" s="1"/>
      <c r="J221" s="1"/>
      <c r="K221" s="1"/>
    </row>
    <row r="222" spans="1:11" s="144" customFormat="1" ht="13.5">
      <c r="A222" s="1"/>
      <c r="B222" s="68"/>
      <c r="C222" s="1"/>
      <c r="D222" s="1"/>
      <c r="E222" s="3"/>
      <c r="G222" s="63"/>
      <c r="H222" s="63"/>
      <c r="I222" s="1"/>
      <c r="J222" s="1"/>
      <c r="K222" s="1"/>
    </row>
    <row r="223" spans="1:11" s="144" customFormat="1" ht="13.5">
      <c r="A223" s="1"/>
      <c r="B223" s="68"/>
      <c r="C223" s="1"/>
      <c r="D223" s="1"/>
      <c r="E223" s="3"/>
      <c r="G223" s="63"/>
      <c r="H223" s="63"/>
      <c r="I223" s="1"/>
      <c r="J223" s="1"/>
      <c r="K223" s="1"/>
    </row>
    <row r="224" spans="1:11" s="144" customFormat="1" ht="13.5">
      <c r="A224" s="1"/>
      <c r="B224" s="68"/>
      <c r="C224" s="1"/>
      <c r="D224" s="1"/>
      <c r="E224" s="3"/>
      <c r="G224" s="63"/>
      <c r="H224" s="63"/>
      <c r="I224" s="1"/>
      <c r="J224" s="1"/>
      <c r="K224" s="1"/>
    </row>
    <row r="225" spans="1:11" s="144" customFormat="1" ht="13.5">
      <c r="A225" s="1"/>
      <c r="B225" s="68"/>
      <c r="C225" s="1"/>
      <c r="D225" s="1"/>
      <c r="E225" s="3"/>
      <c r="G225" s="63"/>
      <c r="H225" s="63"/>
      <c r="I225" s="1"/>
      <c r="J225" s="1"/>
      <c r="K225" s="1"/>
    </row>
    <row r="226" spans="1:11" s="144" customFormat="1" ht="13.5">
      <c r="A226" s="1"/>
      <c r="B226" s="68"/>
      <c r="C226" s="1"/>
      <c r="D226" s="1"/>
      <c r="E226" s="3"/>
      <c r="G226" s="63"/>
      <c r="H226" s="63"/>
      <c r="I226" s="1"/>
      <c r="J226" s="1"/>
      <c r="K226" s="1"/>
    </row>
    <row r="227" spans="1:11" s="144" customFormat="1" ht="13.5">
      <c r="A227" s="1"/>
      <c r="B227" s="68"/>
      <c r="C227" s="1"/>
      <c r="D227" s="1"/>
      <c r="E227" s="3"/>
      <c r="G227" s="63"/>
      <c r="H227" s="63"/>
      <c r="I227" s="1"/>
      <c r="J227" s="1"/>
      <c r="K227" s="1"/>
    </row>
    <row r="228" spans="1:11" s="144" customFormat="1" ht="13.5">
      <c r="A228" s="1"/>
      <c r="B228" s="68"/>
      <c r="C228" s="1"/>
      <c r="D228" s="1"/>
      <c r="E228" s="3"/>
      <c r="G228" s="63"/>
      <c r="H228" s="63"/>
      <c r="I228" s="1"/>
      <c r="J228" s="1"/>
      <c r="K228" s="1"/>
    </row>
    <row r="229" spans="1:11" s="144" customFormat="1" ht="13.5">
      <c r="A229" s="1"/>
      <c r="B229" s="68"/>
      <c r="C229" s="1"/>
      <c r="D229" s="1"/>
      <c r="E229" s="3"/>
      <c r="G229" s="63"/>
      <c r="H229" s="63"/>
      <c r="I229" s="1"/>
      <c r="J229" s="1"/>
      <c r="K229" s="1"/>
    </row>
    <row r="230" spans="1:11" s="144" customFormat="1" ht="13.5">
      <c r="A230" s="1"/>
      <c r="B230" s="68"/>
      <c r="C230" s="1"/>
      <c r="D230" s="1"/>
      <c r="E230" s="3"/>
      <c r="G230" s="63"/>
      <c r="H230" s="63"/>
      <c r="I230" s="1"/>
      <c r="J230" s="1"/>
      <c r="K230" s="1"/>
    </row>
    <row r="231" spans="1:11" s="144" customFormat="1" ht="13.5">
      <c r="A231" s="1"/>
      <c r="B231" s="68"/>
      <c r="C231" s="1"/>
      <c r="D231" s="1"/>
      <c r="E231" s="3"/>
      <c r="G231" s="63"/>
      <c r="H231" s="63"/>
      <c r="I231" s="1"/>
      <c r="J231" s="1"/>
      <c r="K231" s="1"/>
    </row>
    <row r="232" spans="1:11" s="144" customFormat="1" ht="13.5">
      <c r="A232" s="1"/>
      <c r="B232" s="68"/>
      <c r="C232" s="1"/>
      <c r="D232" s="1"/>
      <c r="E232" s="3"/>
      <c r="G232" s="63"/>
      <c r="H232" s="63"/>
      <c r="I232" s="1"/>
      <c r="J232" s="1"/>
      <c r="K232" s="1"/>
    </row>
    <row r="233" spans="1:11" s="144" customFormat="1" ht="13.5">
      <c r="A233" s="1"/>
      <c r="B233" s="68"/>
      <c r="C233" s="1"/>
      <c r="D233" s="1"/>
      <c r="E233" s="3"/>
      <c r="G233" s="63"/>
      <c r="H233" s="63"/>
      <c r="I233" s="1"/>
      <c r="J233" s="1"/>
      <c r="K233" s="1"/>
    </row>
    <row r="234" spans="1:11" s="144" customFormat="1" ht="13.5">
      <c r="A234" s="1"/>
      <c r="B234" s="68"/>
      <c r="C234" s="1"/>
      <c r="D234" s="1"/>
      <c r="E234" s="3"/>
      <c r="G234" s="63"/>
      <c r="H234" s="63"/>
      <c r="I234" s="1"/>
      <c r="J234" s="1"/>
      <c r="K234" s="1"/>
    </row>
    <row r="235" spans="1:11" s="144" customFormat="1" ht="13.5">
      <c r="A235" s="1"/>
      <c r="B235" s="68"/>
      <c r="C235" s="1"/>
      <c r="D235" s="1"/>
      <c r="E235" s="3"/>
      <c r="G235" s="63"/>
      <c r="H235" s="63"/>
      <c r="I235" s="1"/>
      <c r="J235" s="1"/>
      <c r="K235" s="1"/>
    </row>
    <row r="236" spans="1:11" s="144" customFormat="1" ht="13.5">
      <c r="A236" s="1"/>
      <c r="B236" s="68"/>
      <c r="C236" s="1"/>
      <c r="D236" s="1"/>
      <c r="E236" s="3"/>
      <c r="G236" s="63"/>
      <c r="H236" s="63"/>
      <c r="I236" s="1"/>
      <c r="J236" s="1"/>
      <c r="K236" s="1"/>
    </row>
    <row r="237" spans="1:11" s="144" customFormat="1" ht="13.5">
      <c r="A237" s="1"/>
      <c r="B237" s="68"/>
      <c r="C237" s="1"/>
      <c r="D237" s="1"/>
      <c r="E237" s="3"/>
      <c r="G237" s="63"/>
      <c r="H237" s="63"/>
      <c r="I237" s="1"/>
      <c r="J237" s="1"/>
      <c r="K237" s="1"/>
    </row>
    <row r="238" spans="1:11" s="144" customFormat="1" ht="13.5">
      <c r="A238" s="1"/>
      <c r="B238" s="68"/>
      <c r="C238" s="1"/>
      <c r="D238" s="1"/>
      <c r="E238" s="3"/>
      <c r="G238" s="63"/>
      <c r="H238" s="63"/>
      <c r="I238" s="1"/>
      <c r="J238" s="1"/>
      <c r="K238" s="1"/>
    </row>
    <row r="239" spans="1:11" s="144" customFormat="1" ht="13.5">
      <c r="A239" s="1"/>
      <c r="B239" s="68"/>
      <c r="C239" s="1"/>
      <c r="D239" s="1"/>
      <c r="E239" s="3"/>
      <c r="G239" s="63"/>
      <c r="H239" s="63"/>
      <c r="I239" s="1"/>
      <c r="J239" s="1"/>
      <c r="K239" s="1"/>
    </row>
    <row r="240" spans="1:11" s="144" customFormat="1" ht="13.5">
      <c r="A240" s="1"/>
      <c r="B240" s="68"/>
      <c r="C240" s="1"/>
      <c r="D240" s="1"/>
      <c r="E240" s="3"/>
      <c r="G240" s="63"/>
      <c r="H240" s="63"/>
      <c r="I240" s="1"/>
      <c r="J240" s="1"/>
      <c r="K240" s="1"/>
    </row>
    <row r="241" spans="1:11" s="144" customFormat="1" ht="13.5">
      <c r="A241" s="1"/>
      <c r="B241" s="68"/>
      <c r="C241" s="1"/>
      <c r="D241" s="1"/>
      <c r="E241" s="3"/>
      <c r="G241" s="63"/>
      <c r="H241" s="63"/>
      <c r="I241" s="1"/>
      <c r="J241" s="1"/>
      <c r="K241" s="1"/>
    </row>
    <row r="242" spans="1:11" s="144" customFormat="1" ht="13.5">
      <c r="A242" s="1"/>
      <c r="B242" s="68"/>
      <c r="C242" s="1"/>
      <c r="D242" s="1"/>
      <c r="E242" s="3"/>
      <c r="G242" s="63"/>
      <c r="H242" s="63"/>
      <c r="I242" s="1"/>
      <c r="J242" s="1"/>
      <c r="K242" s="1"/>
    </row>
    <row r="243" spans="1:11" s="144" customFormat="1" ht="13.5">
      <c r="A243" s="1"/>
      <c r="B243" s="68"/>
      <c r="C243" s="1"/>
      <c r="D243" s="1"/>
      <c r="E243" s="3"/>
      <c r="G243" s="63"/>
      <c r="H243" s="63"/>
      <c r="I243" s="1"/>
      <c r="J243" s="1"/>
      <c r="K243" s="1"/>
    </row>
    <row r="244" spans="1:11" s="144" customFormat="1" ht="13.5">
      <c r="A244" s="1"/>
      <c r="B244" s="68"/>
      <c r="C244" s="1"/>
      <c r="D244" s="1"/>
      <c r="E244" s="3"/>
      <c r="G244" s="63"/>
      <c r="H244" s="63"/>
      <c r="I244" s="1"/>
      <c r="J244" s="1"/>
      <c r="K244" s="1"/>
    </row>
    <row r="245" spans="1:11" s="144" customFormat="1" ht="13.5">
      <c r="A245" s="1"/>
      <c r="B245" s="68"/>
      <c r="C245" s="1"/>
      <c r="D245" s="1"/>
      <c r="E245" s="3"/>
      <c r="G245" s="63"/>
      <c r="H245" s="63"/>
      <c r="I245" s="1"/>
      <c r="J245" s="1"/>
      <c r="K245" s="1"/>
    </row>
    <row r="246" spans="1:11" s="144" customFormat="1" ht="13.5">
      <c r="A246" s="1"/>
      <c r="B246" s="68"/>
      <c r="C246" s="1"/>
      <c r="D246" s="1"/>
      <c r="E246" s="3"/>
      <c r="G246" s="63"/>
      <c r="H246" s="63"/>
      <c r="I246" s="1"/>
      <c r="J246" s="1"/>
      <c r="K246" s="1"/>
    </row>
    <row r="247" spans="1:11" s="144" customFormat="1" ht="13.5">
      <c r="A247" s="1"/>
      <c r="B247" s="68"/>
      <c r="C247" s="1"/>
      <c r="D247" s="1"/>
      <c r="E247" s="3"/>
      <c r="G247" s="63"/>
      <c r="H247" s="63"/>
      <c r="I247" s="1"/>
      <c r="J247" s="1"/>
      <c r="K247" s="1"/>
    </row>
    <row r="248" spans="1:11" s="144" customFormat="1" ht="13.5">
      <c r="A248" s="1"/>
      <c r="B248" s="68"/>
      <c r="C248" s="1"/>
      <c r="D248" s="1"/>
      <c r="E248" s="3"/>
      <c r="G248" s="63"/>
      <c r="H248" s="63"/>
      <c r="I248" s="1"/>
      <c r="J248" s="1"/>
      <c r="K248" s="1"/>
    </row>
    <row r="249" spans="1:11" s="144" customFormat="1" ht="13.5">
      <c r="A249" s="1"/>
      <c r="B249" s="68"/>
      <c r="C249" s="1"/>
      <c r="D249" s="1"/>
      <c r="E249" s="3"/>
      <c r="G249" s="63"/>
      <c r="H249" s="63"/>
      <c r="I249" s="1"/>
      <c r="J249" s="1"/>
      <c r="K249" s="1"/>
    </row>
    <row r="250" spans="1:11" s="144" customFormat="1" ht="13.5">
      <c r="A250" s="1"/>
      <c r="B250" s="68"/>
      <c r="C250" s="1"/>
      <c r="D250" s="1"/>
      <c r="E250" s="3"/>
      <c r="G250" s="63"/>
      <c r="H250" s="63"/>
      <c r="I250" s="1"/>
      <c r="J250" s="1"/>
      <c r="K250" s="1"/>
    </row>
    <row r="251" spans="1:11" s="144" customFormat="1" ht="13.5">
      <c r="A251" s="1"/>
      <c r="B251" s="68"/>
      <c r="C251" s="1"/>
      <c r="D251" s="1"/>
      <c r="E251" s="3"/>
      <c r="G251" s="63"/>
      <c r="H251" s="63"/>
      <c r="I251" s="1"/>
      <c r="J251" s="1"/>
      <c r="K251" s="1"/>
    </row>
    <row r="252" spans="1:11" s="144" customFormat="1" ht="13.5">
      <c r="A252" s="1"/>
      <c r="B252" s="68"/>
      <c r="C252" s="1"/>
      <c r="D252" s="1"/>
      <c r="E252" s="3"/>
      <c r="G252" s="63"/>
      <c r="H252" s="63"/>
      <c r="I252" s="1"/>
      <c r="J252" s="1"/>
      <c r="K252" s="1"/>
    </row>
    <row r="253" spans="1:11" s="144" customFormat="1" ht="13.5">
      <c r="A253" s="1"/>
      <c r="B253" s="68"/>
      <c r="C253" s="1"/>
      <c r="D253" s="1"/>
      <c r="E253" s="3"/>
      <c r="G253" s="63"/>
      <c r="H253" s="63"/>
      <c r="I253" s="1"/>
      <c r="J253" s="1"/>
      <c r="K253" s="1"/>
    </row>
    <row r="254" spans="1:11" s="144" customFormat="1" ht="13.5">
      <c r="A254" s="1"/>
      <c r="B254" s="68"/>
      <c r="C254" s="1"/>
      <c r="D254" s="1"/>
      <c r="E254" s="3"/>
      <c r="G254" s="63"/>
      <c r="H254" s="63"/>
      <c r="I254" s="1"/>
      <c r="J254" s="1"/>
      <c r="K254" s="1"/>
    </row>
    <row r="255" spans="1:11" s="144" customFormat="1" ht="13.5">
      <c r="A255" s="1"/>
      <c r="B255" s="68"/>
      <c r="C255" s="1"/>
      <c r="D255" s="1"/>
      <c r="E255" s="3"/>
      <c r="G255" s="63"/>
      <c r="H255" s="63"/>
      <c r="I255" s="1"/>
      <c r="J255" s="1"/>
      <c r="K255" s="1"/>
    </row>
    <row r="256" spans="1:11" s="144" customFormat="1" ht="13.5">
      <c r="A256" s="1"/>
      <c r="B256" s="68"/>
      <c r="C256" s="1"/>
      <c r="D256" s="1"/>
      <c r="E256" s="3"/>
      <c r="G256" s="63"/>
      <c r="H256" s="63"/>
      <c r="I256" s="1"/>
      <c r="J256" s="1"/>
      <c r="K256" s="1"/>
    </row>
    <row r="257" spans="1:11" s="144" customFormat="1" ht="13.5">
      <c r="A257" s="1"/>
      <c r="B257" s="68"/>
      <c r="C257" s="1"/>
      <c r="D257" s="1"/>
      <c r="E257" s="3"/>
      <c r="G257" s="63"/>
      <c r="H257" s="63"/>
      <c r="I257" s="1"/>
      <c r="J257" s="1"/>
      <c r="K257" s="1"/>
    </row>
    <row r="258" spans="1:11" s="144" customFormat="1" ht="13.5">
      <c r="A258" s="1"/>
      <c r="B258" s="68"/>
      <c r="C258" s="1"/>
      <c r="D258" s="1"/>
      <c r="E258" s="3"/>
      <c r="G258" s="63"/>
      <c r="H258" s="63"/>
      <c r="I258" s="1"/>
      <c r="J258" s="1"/>
      <c r="K258" s="1"/>
    </row>
    <row r="259" spans="1:11" s="144" customFormat="1" ht="13.5">
      <c r="A259" s="1"/>
      <c r="B259" s="68"/>
      <c r="C259" s="1"/>
      <c r="D259" s="1"/>
      <c r="E259" s="3"/>
      <c r="G259" s="63"/>
      <c r="H259" s="63"/>
      <c r="I259" s="1"/>
      <c r="J259" s="1"/>
      <c r="K259" s="1"/>
    </row>
    <row r="260" spans="1:11" s="144" customFormat="1" ht="13.5">
      <c r="A260" s="1"/>
      <c r="B260" s="68"/>
      <c r="C260" s="1"/>
      <c r="D260" s="1"/>
      <c r="E260" s="3"/>
      <c r="G260" s="63"/>
      <c r="H260" s="63"/>
      <c r="I260" s="1"/>
      <c r="J260" s="1"/>
      <c r="K260" s="1"/>
    </row>
    <row r="261" spans="1:11" s="144" customFormat="1" ht="13.5">
      <c r="A261" s="1"/>
      <c r="B261" s="68"/>
      <c r="C261" s="1"/>
      <c r="D261" s="1"/>
      <c r="E261" s="3"/>
      <c r="G261" s="63"/>
      <c r="H261" s="63"/>
      <c r="I261" s="1"/>
      <c r="J261" s="1"/>
      <c r="K261" s="1"/>
    </row>
    <row r="262" spans="1:11" s="144" customFormat="1" ht="13.5">
      <c r="A262" s="1"/>
      <c r="B262" s="68"/>
      <c r="C262" s="1"/>
      <c r="D262" s="1"/>
      <c r="E262" s="3"/>
      <c r="G262" s="63"/>
      <c r="H262" s="63"/>
      <c r="I262" s="1"/>
      <c r="J262" s="1"/>
      <c r="K262" s="1"/>
    </row>
    <row r="263" spans="1:11" s="144" customFormat="1" ht="13.5">
      <c r="A263" s="1"/>
      <c r="B263" s="68"/>
      <c r="C263" s="1"/>
      <c r="D263" s="1"/>
      <c r="E263" s="3"/>
      <c r="G263" s="63"/>
      <c r="H263" s="63"/>
      <c r="I263" s="1"/>
      <c r="J263" s="1"/>
      <c r="K263" s="1"/>
    </row>
    <row r="264" spans="1:11" s="144" customFormat="1" ht="13.5">
      <c r="A264" s="1"/>
      <c r="B264" s="68"/>
      <c r="C264" s="1"/>
      <c r="D264" s="1"/>
      <c r="E264" s="3"/>
      <c r="G264" s="63"/>
      <c r="H264" s="63"/>
      <c r="I264" s="1"/>
      <c r="J264" s="1"/>
      <c r="K264" s="1"/>
    </row>
    <row r="265" spans="1:11" s="144" customFormat="1" ht="13.5">
      <c r="A265" s="1"/>
      <c r="B265" s="68"/>
      <c r="C265" s="1"/>
      <c r="D265" s="1"/>
      <c r="E265" s="3"/>
      <c r="G265" s="63"/>
      <c r="H265" s="63"/>
      <c r="I265" s="1"/>
      <c r="J265" s="1"/>
      <c r="K265" s="1"/>
    </row>
    <row r="266" spans="1:11" s="144" customFormat="1" ht="13.5">
      <c r="A266" s="1"/>
      <c r="B266" s="68"/>
      <c r="C266" s="1"/>
      <c r="D266" s="1"/>
      <c r="E266" s="3"/>
      <c r="G266" s="63"/>
      <c r="H266" s="63"/>
      <c r="I266" s="1"/>
      <c r="J266" s="1"/>
      <c r="K266" s="1"/>
    </row>
    <row r="267" spans="1:11" s="144" customFormat="1" ht="13.5">
      <c r="A267" s="1"/>
      <c r="B267" s="68"/>
      <c r="C267" s="1"/>
      <c r="D267" s="1"/>
      <c r="E267" s="3"/>
      <c r="G267" s="63"/>
      <c r="H267" s="63"/>
      <c r="I267" s="1"/>
      <c r="J267" s="1"/>
      <c r="K267" s="1"/>
    </row>
    <row r="268" spans="1:11" s="144" customFormat="1" ht="13.5">
      <c r="A268" s="1"/>
      <c r="B268" s="68"/>
      <c r="C268" s="1"/>
      <c r="D268" s="1"/>
      <c r="E268" s="3"/>
      <c r="G268" s="63"/>
      <c r="H268" s="63"/>
      <c r="I268" s="1"/>
      <c r="J268" s="1"/>
      <c r="K268" s="1"/>
    </row>
    <row r="269" spans="1:11" s="144" customFormat="1" ht="13.5">
      <c r="A269" s="1"/>
      <c r="B269" s="68"/>
      <c r="C269" s="1"/>
      <c r="D269" s="1"/>
      <c r="E269" s="3"/>
      <c r="G269" s="63"/>
      <c r="H269" s="63"/>
      <c r="I269" s="1"/>
      <c r="J269" s="1"/>
      <c r="K269" s="1"/>
    </row>
    <row r="270" spans="1:11" s="144" customFormat="1" ht="13.5">
      <c r="A270" s="1"/>
      <c r="B270" s="68"/>
      <c r="C270" s="1"/>
      <c r="D270" s="1"/>
      <c r="E270" s="3"/>
      <c r="G270" s="63"/>
      <c r="H270" s="63"/>
      <c r="I270" s="1"/>
      <c r="J270" s="1"/>
      <c r="K270" s="1"/>
    </row>
    <row r="271" spans="1:11" s="144" customFormat="1" ht="13.5">
      <c r="A271" s="1"/>
      <c r="B271" s="68"/>
      <c r="C271" s="1"/>
      <c r="D271" s="1"/>
      <c r="E271" s="3"/>
      <c r="G271" s="63"/>
      <c r="H271" s="63"/>
      <c r="I271" s="1"/>
      <c r="J271" s="1"/>
      <c r="K271" s="1"/>
    </row>
    <row r="272" spans="1:11" s="144" customFormat="1" ht="13.5">
      <c r="A272" s="1"/>
      <c r="B272" s="68"/>
      <c r="C272" s="1"/>
      <c r="D272" s="1"/>
      <c r="E272" s="3"/>
      <c r="G272" s="63"/>
      <c r="H272" s="63"/>
      <c r="I272" s="1"/>
      <c r="J272" s="1"/>
      <c r="K272" s="1"/>
    </row>
    <row r="273" spans="1:11" s="144" customFormat="1" ht="13.5">
      <c r="A273" s="1"/>
      <c r="B273" s="68"/>
      <c r="C273" s="1"/>
      <c r="D273" s="1"/>
      <c r="E273" s="3"/>
      <c r="G273" s="63"/>
      <c r="H273" s="63"/>
      <c r="I273" s="1"/>
      <c r="J273" s="1"/>
      <c r="K273" s="1"/>
    </row>
    <row r="274" spans="1:11" s="144" customFormat="1" ht="13.5">
      <c r="A274" s="1"/>
      <c r="B274" s="68"/>
      <c r="C274" s="1"/>
      <c r="D274" s="1"/>
      <c r="E274" s="3"/>
      <c r="G274" s="63"/>
      <c r="H274" s="63"/>
      <c r="I274" s="1"/>
      <c r="J274" s="1"/>
      <c r="K274" s="1"/>
    </row>
    <row r="275" spans="1:11" s="144" customFormat="1" ht="13.5">
      <c r="A275" s="1"/>
      <c r="B275" s="68"/>
      <c r="C275" s="1"/>
      <c r="D275" s="1"/>
      <c r="E275" s="3"/>
      <c r="G275" s="63"/>
      <c r="H275" s="63"/>
      <c r="I275" s="1"/>
      <c r="J275" s="1"/>
      <c r="K275" s="1"/>
    </row>
    <row r="276" spans="1:11" s="144" customFormat="1" ht="13.5">
      <c r="A276" s="1"/>
      <c r="B276" s="68"/>
      <c r="C276" s="1"/>
      <c r="D276" s="1"/>
      <c r="E276" s="3"/>
      <c r="G276" s="63"/>
      <c r="H276" s="63"/>
      <c r="I276" s="1"/>
      <c r="J276" s="1"/>
      <c r="K276" s="1"/>
    </row>
    <row r="277" spans="1:11" s="144" customFormat="1" ht="13.5">
      <c r="A277" s="1"/>
      <c r="B277" s="68"/>
      <c r="C277" s="1"/>
      <c r="D277" s="1"/>
      <c r="E277" s="3"/>
      <c r="G277" s="63"/>
      <c r="H277" s="63"/>
      <c r="I277" s="1"/>
      <c r="J277" s="1"/>
      <c r="K277" s="1"/>
    </row>
    <row r="278" spans="1:11" s="144" customFormat="1" ht="13.5">
      <c r="A278" s="1"/>
      <c r="B278" s="68"/>
      <c r="C278" s="1"/>
      <c r="D278" s="1"/>
      <c r="E278" s="3"/>
      <c r="G278" s="63"/>
      <c r="H278" s="63"/>
      <c r="I278" s="1"/>
      <c r="J278" s="1"/>
      <c r="K278" s="1"/>
    </row>
    <row r="279" spans="1:11" s="144" customFormat="1" ht="13.5">
      <c r="A279" s="1"/>
      <c r="B279" s="68"/>
      <c r="C279" s="1"/>
      <c r="D279" s="1"/>
      <c r="E279" s="3"/>
      <c r="G279" s="63"/>
      <c r="H279" s="63"/>
      <c r="I279" s="1"/>
      <c r="J279" s="1"/>
      <c r="K279" s="1"/>
    </row>
    <row r="280" spans="1:11" s="144" customFormat="1" ht="13.5">
      <c r="A280" s="1"/>
      <c r="B280" s="68"/>
      <c r="C280" s="1"/>
      <c r="D280" s="1"/>
      <c r="E280" s="3"/>
      <c r="G280" s="63"/>
      <c r="H280" s="63"/>
      <c r="I280" s="1"/>
      <c r="J280" s="1"/>
      <c r="K280" s="1"/>
    </row>
    <row r="281" spans="1:11" s="144" customFormat="1" ht="13.5">
      <c r="A281" s="1"/>
      <c r="B281" s="68"/>
      <c r="C281" s="1"/>
      <c r="D281" s="1"/>
      <c r="E281" s="3"/>
      <c r="G281" s="63"/>
      <c r="H281" s="63"/>
      <c r="I281" s="1"/>
      <c r="J281" s="1"/>
      <c r="K281" s="1"/>
    </row>
    <row r="282" spans="1:11" s="144" customFormat="1" ht="13.5">
      <c r="A282" s="1"/>
      <c r="B282" s="68"/>
      <c r="C282" s="1"/>
      <c r="D282" s="1"/>
      <c r="E282" s="3"/>
      <c r="G282" s="63"/>
      <c r="H282" s="63"/>
      <c r="I282" s="1"/>
      <c r="J282" s="1"/>
      <c r="K282" s="1"/>
    </row>
    <row r="283" spans="1:11" s="144" customFormat="1" ht="13.5">
      <c r="A283" s="1"/>
      <c r="B283" s="68"/>
      <c r="C283" s="1"/>
      <c r="D283" s="1"/>
      <c r="E283" s="3"/>
      <c r="G283" s="63"/>
      <c r="H283" s="63"/>
      <c r="I283" s="1"/>
      <c r="J283" s="1"/>
      <c r="K283" s="1"/>
    </row>
    <row r="284" spans="1:11" s="144" customFormat="1" ht="13.5">
      <c r="A284" s="1"/>
      <c r="B284" s="68"/>
      <c r="C284" s="1"/>
      <c r="D284" s="1"/>
      <c r="E284" s="3"/>
      <c r="G284" s="63"/>
      <c r="H284" s="63"/>
      <c r="I284" s="1"/>
      <c r="J284" s="1"/>
      <c r="K284" s="1"/>
    </row>
    <row r="285" spans="1:11" s="144" customFormat="1" ht="13.5">
      <c r="A285" s="1"/>
      <c r="B285" s="68"/>
      <c r="C285" s="1"/>
      <c r="D285" s="1"/>
      <c r="E285" s="3"/>
      <c r="G285" s="63"/>
      <c r="H285" s="63"/>
      <c r="I285" s="1"/>
      <c r="J285" s="1"/>
      <c r="K285" s="1"/>
    </row>
    <row r="286" spans="1:11" s="144" customFormat="1" ht="13.5">
      <c r="A286" s="1"/>
      <c r="B286" s="68"/>
      <c r="C286" s="1"/>
      <c r="D286" s="1"/>
      <c r="E286" s="3"/>
      <c r="G286" s="63"/>
      <c r="H286" s="63"/>
      <c r="I286" s="1"/>
      <c r="J286" s="1"/>
      <c r="K286" s="1"/>
    </row>
    <row r="287" spans="1:11" s="144" customFormat="1" ht="13.5">
      <c r="A287" s="1"/>
      <c r="B287" s="68"/>
      <c r="C287" s="1"/>
      <c r="D287" s="1"/>
      <c r="E287" s="3"/>
      <c r="G287" s="63"/>
      <c r="H287" s="63"/>
      <c r="I287" s="1"/>
      <c r="J287" s="1"/>
      <c r="K287" s="1"/>
    </row>
    <row r="288" spans="1:11" s="144" customFormat="1" ht="13.5">
      <c r="A288" s="1"/>
      <c r="B288" s="68"/>
      <c r="C288" s="1"/>
      <c r="D288" s="1"/>
      <c r="E288" s="3"/>
      <c r="G288" s="63"/>
      <c r="H288" s="63"/>
      <c r="I288" s="1"/>
      <c r="J288" s="1"/>
      <c r="K288" s="1"/>
    </row>
    <row r="289" spans="1:11" s="144" customFormat="1" ht="13.5">
      <c r="A289" s="1"/>
      <c r="B289" s="68"/>
      <c r="C289" s="1"/>
      <c r="D289" s="1"/>
      <c r="E289" s="3"/>
      <c r="G289" s="63"/>
      <c r="H289" s="63"/>
      <c r="I289" s="1"/>
      <c r="J289" s="1"/>
      <c r="K289" s="1"/>
    </row>
    <row r="290" spans="1:11" s="144" customFormat="1" ht="13.5">
      <c r="A290" s="1"/>
      <c r="B290" s="68"/>
      <c r="C290" s="1"/>
      <c r="D290" s="1"/>
      <c r="E290" s="3"/>
      <c r="G290" s="63"/>
      <c r="H290" s="63"/>
      <c r="I290" s="1"/>
      <c r="J290" s="1"/>
      <c r="K290" s="1"/>
    </row>
    <row r="291" spans="1:11" s="144" customFormat="1" ht="13.5">
      <c r="A291" s="1"/>
      <c r="B291" s="68"/>
      <c r="C291" s="1"/>
      <c r="D291" s="1"/>
      <c r="E291" s="3"/>
      <c r="G291" s="63"/>
      <c r="H291" s="63"/>
      <c r="I291" s="1"/>
      <c r="J291" s="1"/>
      <c r="K291" s="1"/>
    </row>
    <row r="292" spans="1:11" s="144" customFormat="1" ht="13.5">
      <c r="A292" s="1"/>
      <c r="B292" s="68"/>
      <c r="C292" s="1"/>
      <c r="D292" s="1"/>
      <c r="E292" s="3"/>
      <c r="G292" s="63"/>
      <c r="H292" s="63"/>
      <c r="I292" s="1"/>
      <c r="J292" s="1"/>
      <c r="K292" s="1"/>
    </row>
    <row r="293" spans="1:11" s="144" customFormat="1" ht="13.5">
      <c r="A293" s="1"/>
      <c r="B293" s="68"/>
      <c r="C293" s="1"/>
      <c r="D293" s="1"/>
      <c r="E293" s="3"/>
      <c r="G293" s="63"/>
      <c r="H293" s="63"/>
      <c r="I293" s="1"/>
      <c r="J293" s="1"/>
      <c r="K293" s="1"/>
    </row>
    <row r="294" spans="1:11" s="144" customFormat="1" ht="13.5">
      <c r="A294" s="1"/>
      <c r="B294" s="68"/>
      <c r="C294" s="1"/>
      <c r="D294" s="1"/>
      <c r="E294" s="3"/>
      <c r="G294" s="63"/>
      <c r="H294" s="63"/>
      <c r="I294" s="1"/>
      <c r="J294" s="1"/>
      <c r="K294" s="1"/>
    </row>
    <row r="295" spans="1:11" s="144" customFormat="1" ht="13.5">
      <c r="A295" s="1"/>
      <c r="B295" s="68"/>
      <c r="C295" s="1"/>
      <c r="D295" s="1"/>
      <c r="E295" s="3"/>
      <c r="G295" s="63"/>
      <c r="H295" s="63"/>
      <c r="I295" s="1"/>
      <c r="J295" s="1"/>
      <c r="K295" s="1"/>
    </row>
    <row r="296" spans="1:11" s="144" customFormat="1" ht="13.5">
      <c r="A296" s="1"/>
      <c r="B296" s="68"/>
      <c r="C296" s="1"/>
      <c r="D296" s="1"/>
      <c r="E296" s="3"/>
      <c r="G296" s="63"/>
      <c r="H296" s="63"/>
      <c r="I296" s="1"/>
      <c r="J296" s="1"/>
      <c r="K296" s="1"/>
    </row>
    <row r="297" spans="1:11" s="144" customFormat="1" ht="13.5">
      <c r="A297" s="1"/>
      <c r="B297" s="68"/>
      <c r="C297" s="1"/>
      <c r="D297" s="1"/>
      <c r="E297" s="3"/>
      <c r="G297" s="63"/>
      <c r="H297" s="63"/>
      <c r="I297" s="1"/>
      <c r="J297" s="1"/>
      <c r="K297" s="1"/>
    </row>
    <row r="298" spans="1:11" s="144" customFormat="1" ht="13.5">
      <c r="A298" s="1"/>
      <c r="B298" s="68"/>
      <c r="C298" s="1"/>
      <c r="D298" s="1"/>
      <c r="E298" s="3"/>
      <c r="G298" s="63"/>
      <c r="H298" s="63"/>
      <c r="I298" s="1"/>
      <c r="J298" s="1"/>
      <c r="K298" s="1"/>
    </row>
    <row r="299" spans="1:11" s="144" customFormat="1" ht="13.5">
      <c r="A299" s="1"/>
      <c r="B299" s="68"/>
      <c r="C299" s="1"/>
      <c r="D299" s="1"/>
      <c r="E299" s="3"/>
      <c r="G299" s="63"/>
      <c r="H299" s="63"/>
      <c r="I299" s="1"/>
      <c r="J299" s="1"/>
      <c r="K299" s="1"/>
    </row>
    <row r="300" spans="1:11" s="144" customFormat="1" ht="13.5">
      <c r="A300" s="1"/>
      <c r="B300" s="68"/>
      <c r="C300" s="1"/>
      <c r="D300" s="1"/>
      <c r="E300" s="3"/>
      <c r="G300" s="63"/>
      <c r="H300" s="63"/>
      <c r="I300" s="1"/>
      <c r="J300" s="1"/>
      <c r="K300" s="1"/>
    </row>
    <row r="301" spans="1:11" s="144" customFormat="1" ht="13.5">
      <c r="A301" s="1"/>
      <c r="B301" s="68"/>
      <c r="C301" s="1"/>
      <c r="D301" s="1"/>
      <c r="E301" s="3"/>
      <c r="G301" s="63"/>
      <c r="H301" s="63"/>
      <c r="I301" s="1"/>
      <c r="J301" s="1"/>
      <c r="K301" s="1"/>
    </row>
    <row r="302" spans="1:11" s="144" customFormat="1" ht="13.5">
      <c r="A302" s="1"/>
      <c r="B302" s="68"/>
      <c r="C302" s="1"/>
      <c r="D302" s="1"/>
      <c r="E302" s="3"/>
      <c r="G302" s="63"/>
      <c r="H302" s="63"/>
      <c r="I302" s="1"/>
      <c r="J302" s="1"/>
      <c r="K302" s="1"/>
    </row>
    <row r="303" spans="1:11" s="144" customFormat="1" ht="13.5">
      <c r="A303" s="1"/>
      <c r="B303" s="68"/>
      <c r="C303" s="1"/>
      <c r="D303" s="1"/>
      <c r="E303" s="3"/>
      <c r="G303" s="63"/>
      <c r="H303" s="63"/>
      <c r="I303" s="1"/>
      <c r="J303" s="1"/>
      <c r="K303" s="1"/>
    </row>
    <row r="304" spans="1:11" s="144" customFormat="1" ht="13.5">
      <c r="A304" s="1"/>
      <c r="B304" s="68"/>
      <c r="C304" s="1"/>
      <c r="D304" s="1"/>
      <c r="E304" s="3"/>
      <c r="G304" s="63"/>
      <c r="H304" s="63"/>
      <c r="I304" s="1"/>
      <c r="J304" s="1"/>
      <c r="K304" s="1"/>
    </row>
    <row r="305" spans="1:11" s="144" customFormat="1" ht="13.5">
      <c r="A305" s="1"/>
      <c r="B305" s="68"/>
      <c r="C305" s="1"/>
      <c r="D305" s="1"/>
      <c r="E305" s="3"/>
      <c r="G305" s="63"/>
      <c r="H305" s="63"/>
      <c r="I305" s="1"/>
      <c r="J305" s="1"/>
      <c r="K305" s="1"/>
    </row>
    <row r="306" spans="1:11" s="144" customFormat="1" ht="13.5">
      <c r="A306" s="1"/>
      <c r="B306" s="68"/>
      <c r="C306" s="1"/>
      <c r="D306" s="1"/>
      <c r="E306" s="3"/>
      <c r="G306" s="63"/>
      <c r="H306" s="63"/>
      <c r="I306" s="1"/>
      <c r="J306" s="1"/>
      <c r="K306" s="1"/>
    </row>
    <row r="307" spans="1:11" s="144" customFormat="1" ht="13.5">
      <c r="A307" s="1"/>
      <c r="B307" s="68"/>
      <c r="C307" s="1"/>
      <c r="D307" s="1"/>
      <c r="E307" s="3"/>
      <c r="G307" s="63"/>
      <c r="H307" s="63"/>
      <c r="I307" s="1"/>
      <c r="J307" s="1"/>
      <c r="K307" s="1"/>
    </row>
    <row r="308" spans="1:11" s="144" customFormat="1" ht="13.5">
      <c r="A308" s="1"/>
      <c r="B308" s="68"/>
      <c r="C308" s="1"/>
      <c r="D308" s="1"/>
      <c r="E308" s="3"/>
      <c r="G308" s="63"/>
      <c r="H308" s="63"/>
      <c r="I308" s="1"/>
      <c r="J308" s="1"/>
      <c r="K308" s="1"/>
    </row>
    <row r="309" spans="1:11" s="144" customFormat="1" ht="13.5">
      <c r="A309" s="1"/>
      <c r="B309" s="68"/>
      <c r="C309" s="1"/>
      <c r="D309" s="1"/>
      <c r="E309" s="3"/>
      <c r="G309" s="63"/>
      <c r="H309" s="63"/>
      <c r="I309" s="1"/>
      <c r="J309" s="1"/>
      <c r="K309" s="1"/>
    </row>
    <row r="310" spans="1:11" s="144" customFormat="1" ht="13.5">
      <c r="A310" s="1"/>
      <c r="B310" s="68"/>
      <c r="C310" s="1"/>
      <c r="D310" s="1"/>
      <c r="E310" s="3"/>
      <c r="G310" s="63"/>
      <c r="H310" s="63"/>
      <c r="I310" s="1"/>
      <c r="J310" s="1"/>
      <c r="K310" s="1"/>
    </row>
    <row r="311" spans="1:11" s="144" customFormat="1" ht="13.5">
      <c r="A311" s="1"/>
      <c r="B311" s="68"/>
      <c r="C311" s="1"/>
      <c r="D311" s="1"/>
      <c r="E311" s="3"/>
      <c r="G311" s="63"/>
      <c r="H311" s="63"/>
      <c r="I311" s="1"/>
      <c r="J311" s="1"/>
      <c r="K311" s="1"/>
    </row>
    <row r="312" spans="1:11" s="144" customFormat="1" ht="13.5">
      <c r="A312" s="1"/>
      <c r="B312" s="68"/>
      <c r="C312" s="1"/>
      <c r="D312" s="1"/>
      <c r="E312" s="3"/>
      <c r="G312" s="63"/>
      <c r="H312" s="63"/>
      <c r="I312" s="1"/>
      <c r="J312" s="1"/>
      <c r="K312" s="1"/>
    </row>
    <row r="313" spans="1:11" s="144" customFormat="1" ht="13.5">
      <c r="A313" s="1"/>
      <c r="B313" s="68"/>
      <c r="C313" s="1"/>
      <c r="D313" s="1"/>
      <c r="E313" s="3"/>
      <c r="G313" s="63"/>
      <c r="H313" s="63"/>
      <c r="I313" s="1"/>
      <c r="J313" s="1"/>
      <c r="K313" s="1"/>
    </row>
    <row r="314" spans="1:11" s="144" customFormat="1" ht="13.5">
      <c r="A314" s="1"/>
      <c r="B314" s="68"/>
      <c r="C314" s="1"/>
      <c r="D314" s="1"/>
      <c r="E314" s="3"/>
      <c r="G314" s="63"/>
      <c r="H314" s="63"/>
      <c r="I314" s="1"/>
      <c r="J314" s="1"/>
      <c r="K314" s="1"/>
    </row>
    <row r="315" spans="1:11" s="144" customFormat="1" ht="13.5">
      <c r="A315" s="1"/>
      <c r="B315" s="68"/>
      <c r="C315" s="1"/>
      <c r="D315" s="1"/>
      <c r="E315" s="3"/>
      <c r="G315" s="63"/>
      <c r="H315" s="63"/>
      <c r="I315" s="1"/>
      <c r="J315" s="1"/>
      <c r="K315" s="1"/>
    </row>
    <row r="316" spans="1:11" s="144" customFormat="1" ht="13.5">
      <c r="A316" s="1"/>
      <c r="B316" s="68"/>
      <c r="C316" s="1"/>
      <c r="D316" s="1"/>
      <c r="E316" s="3"/>
      <c r="G316" s="63"/>
      <c r="H316" s="63"/>
      <c r="I316" s="1"/>
      <c r="J316" s="1"/>
      <c r="K316" s="1"/>
    </row>
    <row r="317" spans="1:11" s="144" customFormat="1" ht="13.5">
      <c r="A317" s="1"/>
      <c r="B317" s="68"/>
      <c r="C317" s="1"/>
      <c r="D317" s="1"/>
      <c r="E317" s="3"/>
      <c r="G317" s="63"/>
      <c r="H317" s="63"/>
      <c r="I317" s="1"/>
      <c r="J317" s="1"/>
      <c r="K317" s="1"/>
    </row>
    <row r="318" spans="1:11" s="144" customFormat="1" ht="13.5">
      <c r="A318" s="1"/>
      <c r="B318" s="68"/>
      <c r="C318" s="1"/>
      <c r="D318" s="1"/>
      <c r="E318" s="3"/>
      <c r="G318" s="63"/>
      <c r="H318" s="63"/>
      <c r="I318" s="1"/>
      <c r="J318" s="1"/>
      <c r="K318" s="1"/>
    </row>
    <row r="319" spans="1:11" s="144" customFormat="1" ht="13.5">
      <c r="A319" s="1"/>
      <c r="B319" s="68"/>
      <c r="C319" s="1"/>
      <c r="D319" s="1"/>
      <c r="E319" s="3"/>
      <c r="G319" s="63"/>
      <c r="H319" s="63"/>
      <c r="I319" s="1"/>
      <c r="J319" s="1"/>
      <c r="K319" s="1"/>
    </row>
    <row r="320" spans="1:11" s="144" customFormat="1" ht="13.5">
      <c r="A320" s="1"/>
      <c r="B320" s="68"/>
      <c r="C320" s="1"/>
      <c r="D320" s="1"/>
      <c r="E320" s="3"/>
      <c r="G320" s="63"/>
      <c r="H320" s="63"/>
      <c r="I320" s="1"/>
      <c r="J320" s="1"/>
      <c r="K320" s="1"/>
    </row>
    <row r="321" spans="1:11" s="144" customFormat="1" ht="13.5">
      <c r="A321" s="1"/>
      <c r="B321" s="68"/>
      <c r="C321" s="1"/>
      <c r="D321" s="1"/>
      <c r="E321" s="3"/>
      <c r="G321" s="63"/>
      <c r="H321" s="63"/>
      <c r="I321" s="1"/>
      <c r="J321" s="1"/>
      <c r="K321" s="1"/>
    </row>
    <row r="322" spans="1:11" s="144" customFormat="1" ht="13.5">
      <c r="A322" s="1"/>
      <c r="B322" s="68"/>
      <c r="C322" s="1"/>
      <c r="D322" s="1"/>
      <c r="E322" s="3"/>
      <c r="G322" s="63"/>
      <c r="H322" s="63"/>
      <c r="I322" s="1"/>
      <c r="J322" s="1"/>
      <c r="K322" s="1"/>
    </row>
    <row r="323" spans="1:11" s="144" customFormat="1" ht="13.5">
      <c r="A323" s="1"/>
      <c r="B323" s="68"/>
      <c r="C323" s="1"/>
      <c r="D323" s="1"/>
      <c r="E323" s="3"/>
      <c r="G323" s="63"/>
      <c r="H323" s="63"/>
      <c r="I323" s="1"/>
      <c r="J323" s="1"/>
      <c r="K323" s="1"/>
    </row>
    <row r="324" spans="1:11" s="144" customFormat="1" ht="13.5">
      <c r="A324" s="1"/>
      <c r="B324" s="68"/>
      <c r="C324" s="1"/>
      <c r="D324" s="1"/>
      <c r="E324" s="3"/>
      <c r="G324" s="63"/>
      <c r="H324" s="63"/>
      <c r="I324" s="1"/>
      <c r="J324" s="1"/>
      <c r="K324" s="1"/>
    </row>
    <row r="325" spans="1:11" s="144" customFormat="1" ht="13.5">
      <c r="A325" s="1"/>
      <c r="B325" s="68"/>
      <c r="C325" s="1"/>
      <c r="D325" s="1"/>
      <c r="E325" s="3"/>
      <c r="G325" s="63"/>
      <c r="H325" s="63"/>
      <c r="I325" s="1"/>
      <c r="J325" s="1"/>
      <c r="K325" s="1"/>
    </row>
    <row r="326" spans="1:11" s="144" customFormat="1" ht="13.5">
      <c r="A326" s="1"/>
      <c r="B326" s="68"/>
      <c r="C326" s="1"/>
      <c r="D326" s="1"/>
      <c r="E326" s="3"/>
      <c r="G326" s="63"/>
      <c r="H326" s="63"/>
      <c r="I326" s="1"/>
      <c r="J326" s="1"/>
      <c r="K326" s="1"/>
    </row>
    <row r="327" spans="1:11" s="144" customFormat="1" ht="13.5">
      <c r="A327" s="1"/>
      <c r="B327" s="68"/>
      <c r="C327" s="1"/>
      <c r="D327" s="1"/>
      <c r="E327" s="3"/>
      <c r="G327" s="63"/>
      <c r="H327" s="63"/>
      <c r="I327" s="1"/>
      <c r="J327" s="1"/>
      <c r="K327" s="1"/>
    </row>
    <row r="328" spans="1:11" s="144" customFormat="1" ht="13.5">
      <c r="A328" s="1"/>
      <c r="B328" s="68"/>
      <c r="C328" s="1"/>
      <c r="D328" s="1"/>
      <c r="E328" s="3"/>
      <c r="G328" s="63"/>
      <c r="H328" s="63"/>
      <c r="I328" s="1"/>
      <c r="J328" s="1"/>
      <c r="K328" s="1"/>
    </row>
    <row r="329" spans="1:11" s="144" customFormat="1" ht="13.5">
      <c r="A329" s="1"/>
      <c r="B329" s="68"/>
      <c r="C329" s="1"/>
      <c r="D329" s="1"/>
      <c r="E329" s="3"/>
      <c r="G329" s="63"/>
      <c r="H329" s="63"/>
      <c r="I329" s="1"/>
      <c r="J329" s="1"/>
      <c r="K329" s="1"/>
    </row>
    <row r="330" spans="1:11" s="144" customFormat="1" ht="13.5">
      <c r="A330" s="1"/>
      <c r="B330" s="68"/>
      <c r="C330" s="1"/>
      <c r="D330" s="1"/>
      <c r="E330" s="3"/>
      <c r="G330" s="63"/>
      <c r="H330" s="63"/>
      <c r="I330" s="1"/>
      <c r="J330" s="1"/>
      <c r="K330" s="1"/>
    </row>
    <row r="331" spans="1:11" s="144" customFormat="1" ht="13.5">
      <c r="A331" s="1"/>
      <c r="B331" s="68"/>
      <c r="C331" s="1"/>
      <c r="D331" s="1"/>
      <c r="E331" s="3"/>
      <c r="G331" s="63"/>
      <c r="H331" s="63"/>
      <c r="I331" s="1"/>
      <c r="J331" s="1"/>
      <c r="K331" s="1"/>
    </row>
    <row r="332" spans="1:11" s="144" customFormat="1" ht="13.5">
      <c r="A332" s="1"/>
      <c r="B332" s="68"/>
      <c r="C332" s="1"/>
      <c r="D332" s="1"/>
      <c r="E332" s="3"/>
      <c r="G332" s="63"/>
      <c r="H332" s="63"/>
      <c r="I332" s="1"/>
      <c r="J332" s="1"/>
      <c r="K332" s="1"/>
    </row>
    <row r="333" spans="1:11" s="144" customFormat="1" ht="13.5">
      <c r="A333" s="1"/>
      <c r="B333" s="68"/>
      <c r="C333" s="1"/>
      <c r="D333" s="1"/>
      <c r="E333" s="3"/>
      <c r="G333" s="63"/>
      <c r="H333" s="63"/>
      <c r="I333" s="1"/>
      <c r="J333" s="1"/>
      <c r="K333" s="1"/>
    </row>
    <row r="334" spans="1:11" s="144" customFormat="1" ht="13.5">
      <c r="A334" s="1"/>
      <c r="B334" s="68"/>
      <c r="C334" s="1"/>
      <c r="D334" s="1"/>
      <c r="E334" s="3"/>
      <c r="G334" s="63"/>
      <c r="H334" s="63"/>
      <c r="I334" s="1"/>
      <c r="J334" s="1"/>
      <c r="K334" s="1"/>
    </row>
    <row r="335" spans="1:11" s="144" customFormat="1" ht="13.5">
      <c r="A335" s="1"/>
      <c r="B335" s="68"/>
      <c r="C335" s="1"/>
      <c r="D335" s="1"/>
      <c r="E335" s="3"/>
      <c r="G335" s="63"/>
      <c r="H335" s="63"/>
      <c r="I335" s="1"/>
      <c r="J335" s="1"/>
      <c r="K335" s="1"/>
    </row>
    <row r="336" spans="1:11" s="144" customFormat="1" ht="13.5">
      <c r="A336" s="1"/>
      <c r="B336" s="68"/>
      <c r="C336" s="1"/>
      <c r="D336" s="1"/>
      <c r="E336" s="3"/>
      <c r="G336" s="63"/>
      <c r="H336" s="63"/>
      <c r="I336" s="1"/>
      <c r="J336" s="1"/>
      <c r="K336" s="1"/>
    </row>
    <row r="337" spans="1:11" s="144" customFormat="1" ht="13.5">
      <c r="A337" s="1"/>
      <c r="B337" s="68"/>
      <c r="C337" s="1"/>
      <c r="D337" s="1"/>
      <c r="E337" s="3"/>
      <c r="G337" s="63"/>
      <c r="H337" s="63"/>
      <c r="I337" s="1"/>
      <c r="J337" s="1"/>
      <c r="K337" s="1"/>
    </row>
    <row r="338" spans="1:11" s="144" customFormat="1" ht="13.5">
      <c r="A338" s="1"/>
      <c r="B338" s="68"/>
      <c r="C338" s="1"/>
      <c r="D338" s="1"/>
      <c r="E338" s="3"/>
      <c r="G338" s="63"/>
      <c r="H338" s="63"/>
      <c r="I338" s="1"/>
      <c r="J338" s="1"/>
      <c r="K338" s="1"/>
    </row>
    <row r="339" spans="1:11" s="144" customFormat="1" ht="13.5">
      <c r="A339" s="1"/>
      <c r="B339" s="68"/>
      <c r="C339" s="1"/>
      <c r="D339" s="1"/>
      <c r="E339" s="3"/>
      <c r="G339" s="63"/>
      <c r="H339" s="63"/>
      <c r="I339" s="1"/>
      <c r="J339" s="1"/>
      <c r="K339" s="1"/>
    </row>
    <row r="340" spans="1:11" s="144" customFormat="1" ht="13.5">
      <c r="A340" s="1"/>
      <c r="B340" s="68"/>
      <c r="C340" s="1"/>
      <c r="D340" s="1"/>
      <c r="E340" s="3"/>
      <c r="G340" s="63"/>
      <c r="H340" s="63"/>
      <c r="I340" s="1"/>
      <c r="J340" s="1"/>
      <c r="K340" s="1"/>
    </row>
    <row r="341" spans="1:11" s="144" customFormat="1" ht="13.5">
      <c r="A341" s="1"/>
      <c r="B341" s="68"/>
      <c r="C341" s="1"/>
      <c r="D341" s="1"/>
      <c r="E341" s="3"/>
      <c r="G341" s="63"/>
      <c r="H341" s="63"/>
      <c r="I341" s="1"/>
      <c r="J341" s="1"/>
      <c r="K341" s="1"/>
    </row>
    <row r="342" spans="1:11" s="144" customFormat="1" ht="13.5">
      <c r="A342" s="1"/>
      <c r="B342" s="68"/>
      <c r="C342" s="1"/>
      <c r="D342" s="1"/>
      <c r="E342" s="3"/>
      <c r="G342" s="63"/>
      <c r="H342" s="63"/>
      <c r="I342" s="1"/>
      <c r="J342" s="1"/>
      <c r="K342" s="1"/>
    </row>
    <row r="343" spans="1:11" s="144" customFormat="1" ht="13.5">
      <c r="A343" s="1"/>
      <c r="B343" s="68"/>
      <c r="C343" s="1"/>
      <c r="D343" s="1"/>
      <c r="E343" s="3"/>
      <c r="G343" s="63"/>
      <c r="H343" s="63"/>
      <c r="I343" s="1"/>
      <c r="J343" s="1"/>
      <c r="K343" s="1"/>
    </row>
    <row r="344" spans="1:11" s="144" customFormat="1" ht="13.5">
      <c r="A344" s="1"/>
      <c r="B344" s="68"/>
      <c r="C344" s="1"/>
      <c r="D344" s="1"/>
      <c r="E344" s="3"/>
      <c r="G344" s="63"/>
      <c r="H344" s="63"/>
      <c r="I344" s="1"/>
      <c r="J344" s="1"/>
      <c r="K344" s="1"/>
    </row>
    <row r="345" spans="1:11" s="144" customFormat="1" ht="13.5">
      <c r="A345" s="1"/>
      <c r="B345" s="68"/>
      <c r="C345" s="1"/>
      <c r="D345" s="1"/>
      <c r="E345" s="3"/>
      <c r="G345" s="63"/>
      <c r="H345" s="63"/>
      <c r="I345" s="1"/>
      <c r="J345" s="1"/>
      <c r="K345" s="1"/>
    </row>
    <row r="346" spans="1:11" s="144" customFormat="1" ht="13.5">
      <c r="A346" s="1"/>
      <c r="B346" s="68"/>
      <c r="C346" s="1"/>
      <c r="D346" s="1"/>
      <c r="E346" s="3"/>
      <c r="G346" s="63"/>
      <c r="H346" s="63"/>
      <c r="I346" s="1"/>
      <c r="J346" s="1"/>
      <c r="K346" s="1"/>
    </row>
    <row r="347" spans="1:11" s="144" customFormat="1" ht="13.5">
      <c r="A347" s="1"/>
      <c r="B347" s="68"/>
      <c r="C347" s="1"/>
      <c r="D347" s="1"/>
      <c r="E347" s="3"/>
      <c r="G347" s="63"/>
      <c r="H347" s="63"/>
      <c r="I347" s="1"/>
      <c r="J347" s="1"/>
      <c r="K347" s="1"/>
    </row>
    <row r="348" spans="1:11" s="144" customFormat="1" ht="13.5">
      <c r="A348" s="1"/>
      <c r="B348" s="68"/>
      <c r="C348" s="1"/>
      <c r="D348" s="1"/>
      <c r="E348" s="3"/>
      <c r="G348" s="63"/>
      <c r="H348" s="63"/>
      <c r="I348" s="1"/>
      <c r="J348" s="1"/>
      <c r="K348" s="1"/>
    </row>
    <row r="349" spans="1:11" s="144" customFormat="1" ht="13.5">
      <c r="A349" s="1"/>
      <c r="B349" s="68"/>
      <c r="C349" s="1"/>
      <c r="D349" s="1"/>
      <c r="E349" s="3"/>
      <c r="G349" s="63"/>
      <c r="H349" s="63"/>
      <c r="I349" s="1"/>
      <c r="J349" s="1"/>
      <c r="K349" s="1"/>
    </row>
    <row r="350" spans="1:11" s="144" customFormat="1" ht="13.5">
      <c r="A350" s="1"/>
      <c r="B350" s="68"/>
      <c r="C350" s="1"/>
      <c r="D350" s="1"/>
      <c r="E350" s="3"/>
      <c r="G350" s="63"/>
      <c r="H350" s="63"/>
      <c r="I350" s="1"/>
      <c r="J350" s="1"/>
      <c r="K350" s="1"/>
    </row>
    <row r="351" spans="1:11" s="144" customFormat="1" ht="13.5">
      <c r="A351" s="1"/>
      <c r="B351" s="68"/>
      <c r="C351" s="1"/>
      <c r="D351" s="1"/>
      <c r="E351" s="3"/>
      <c r="G351" s="63"/>
      <c r="H351" s="63"/>
      <c r="I351" s="1"/>
      <c r="J351" s="1"/>
      <c r="K351" s="1"/>
    </row>
    <row r="352" spans="1:11" s="144" customFormat="1" ht="13.5">
      <c r="A352" s="1"/>
      <c r="B352" s="68"/>
      <c r="C352" s="1"/>
      <c r="D352" s="1"/>
      <c r="E352" s="3"/>
      <c r="G352" s="63"/>
      <c r="H352" s="63"/>
      <c r="I352" s="1"/>
      <c r="J352" s="1"/>
      <c r="K352" s="1"/>
    </row>
    <row r="353" spans="1:11" s="144" customFormat="1" ht="13.5">
      <c r="A353" s="1"/>
      <c r="B353" s="68"/>
      <c r="C353" s="1"/>
      <c r="D353" s="1"/>
      <c r="E353" s="3"/>
      <c r="G353" s="63"/>
      <c r="H353" s="63"/>
      <c r="I353" s="1"/>
      <c r="J353" s="1"/>
      <c r="K353" s="1"/>
    </row>
    <row r="354" spans="1:11" s="144" customFormat="1" ht="13.5">
      <c r="A354" s="1"/>
      <c r="B354" s="68"/>
      <c r="C354" s="1"/>
      <c r="D354" s="1"/>
      <c r="E354" s="3"/>
      <c r="G354" s="63"/>
      <c r="H354" s="63"/>
      <c r="I354" s="1"/>
      <c r="J354" s="1"/>
      <c r="K354" s="1"/>
    </row>
    <row r="355" spans="1:11" s="144" customFormat="1" ht="13.5">
      <c r="A355" s="1"/>
      <c r="B355" s="68"/>
      <c r="C355" s="1"/>
      <c r="D355" s="1"/>
      <c r="E355" s="3"/>
      <c r="G355" s="63"/>
      <c r="H355" s="63"/>
      <c r="I355" s="1"/>
      <c r="J355" s="1"/>
      <c r="K355" s="1"/>
    </row>
    <row r="356" spans="1:11" s="144" customFormat="1" ht="13.5">
      <c r="A356" s="1"/>
      <c r="B356" s="68"/>
      <c r="C356" s="1"/>
      <c r="D356" s="1"/>
      <c r="E356" s="3"/>
      <c r="G356" s="63"/>
      <c r="H356" s="63"/>
      <c r="I356" s="1"/>
      <c r="J356" s="1"/>
      <c r="K356" s="1"/>
    </row>
    <row r="357" spans="1:11" s="144" customFormat="1" ht="13.5">
      <c r="A357" s="1"/>
      <c r="B357" s="68"/>
      <c r="C357" s="1"/>
      <c r="D357" s="1"/>
      <c r="E357" s="3"/>
      <c r="G357" s="63"/>
      <c r="H357" s="63"/>
      <c r="I357" s="1"/>
      <c r="J357" s="1"/>
      <c r="K357" s="1"/>
    </row>
    <row r="358" spans="1:11" s="144" customFormat="1" ht="13.5">
      <c r="A358" s="1"/>
      <c r="B358" s="68"/>
      <c r="C358" s="1"/>
      <c r="D358" s="1"/>
      <c r="E358" s="3"/>
      <c r="G358" s="63"/>
      <c r="H358" s="63"/>
      <c r="I358" s="1"/>
      <c r="J358" s="1"/>
      <c r="K358" s="1"/>
    </row>
    <row r="359" spans="1:11" s="144" customFormat="1" ht="13.5">
      <c r="A359" s="1"/>
      <c r="B359" s="68"/>
      <c r="C359" s="1"/>
      <c r="D359" s="1"/>
      <c r="E359" s="3"/>
      <c r="G359" s="63"/>
      <c r="H359" s="63"/>
      <c r="I359" s="1"/>
      <c r="J359" s="1"/>
      <c r="K359" s="1"/>
    </row>
    <row r="360" spans="1:11" s="144" customFormat="1" ht="13.5">
      <c r="A360" s="1"/>
      <c r="B360" s="68"/>
      <c r="C360" s="1"/>
      <c r="D360" s="1"/>
      <c r="E360" s="3"/>
      <c r="G360" s="63"/>
      <c r="H360" s="63"/>
      <c r="I360" s="1"/>
      <c r="J360" s="1"/>
      <c r="K360" s="1"/>
    </row>
    <row r="361" spans="1:11" s="144" customFormat="1" ht="13.5">
      <c r="A361" s="1"/>
      <c r="B361" s="68"/>
      <c r="C361" s="1"/>
      <c r="D361" s="1"/>
      <c r="E361" s="3"/>
      <c r="G361" s="63"/>
      <c r="H361" s="63"/>
      <c r="I361" s="1"/>
      <c r="J361" s="1"/>
      <c r="K361" s="1"/>
    </row>
    <row r="362" spans="1:11" s="144" customFormat="1" ht="13.5">
      <c r="A362" s="1"/>
      <c r="B362" s="68"/>
      <c r="C362" s="1"/>
      <c r="D362" s="1"/>
      <c r="E362" s="3"/>
      <c r="G362" s="63"/>
      <c r="H362" s="63"/>
      <c r="I362" s="1"/>
      <c r="J362" s="1"/>
      <c r="K362" s="1"/>
    </row>
    <row r="363" spans="1:11" s="144" customFormat="1" ht="13.5">
      <c r="A363" s="1"/>
      <c r="B363" s="68"/>
      <c r="C363" s="1"/>
      <c r="D363" s="1"/>
      <c r="E363" s="3"/>
      <c r="G363" s="63"/>
      <c r="H363" s="63"/>
      <c r="I363" s="1"/>
      <c r="J363" s="1"/>
      <c r="K363" s="1"/>
    </row>
    <row r="364" spans="1:11" s="144" customFormat="1" ht="13.5">
      <c r="A364" s="1"/>
      <c r="B364" s="68"/>
      <c r="C364" s="1"/>
      <c r="D364" s="1"/>
      <c r="E364" s="3"/>
      <c r="G364" s="63"/>
      <c r="H364" s="63"/>
      <c r="I364" s="1"/>
      <c r="J364" s="1"/>
      <c r="K364" s="1"/>
    </row>
    <row r="365" spans="1:11" s="144" customFormat="1" ht="13.5">
      <c r="A365" s="1"/>
      <c r="B365" s="68"/>
      <c r="C365" s="1"/>
      <c r="D365" s="1"/>
      <c r="E365" s="3"/>
      <c r="G365" s="63"/>
      <c r="H365" s="63"/>
      <c r="I365" s="1"/>
      <c r="J365" s="1"/>
      <c r="K365" s="1"/>
    </row>
    <row r="366" spans="1:11" s="144" customFormat="1" ht="13.5">
      <c r="A366" s="1"/>
      <c r="B366" s="68"/>
      <c r="C366" s="1"/>
      <c r="D366" s="1"/>
      <c r="E366" s="3"/>
      <c r="G366" s="63"/>
      <c r="H366" s="63"/>
      <c r="I366" s="1"/>
      <c r="J366" s="1"/>
      <c r="K366" s="1"/>
    </row>
    <row r="367" spans="1:11" s="144" customFormat="1" ht="13.5">
      <c r="A367" s="1"/>
      <c r="B367" s="68"/>
      <c r="C367" s="1"/>
      <c r="D367" s="1"/>
      <c r="E367" s="3"/>
      <c r="G367" s="63"/>
      <c r="H367" s="63"/>
      <c r="I367" s="1"/>
      <c r="J367" s="1"/>
      <c r="K367" s="1"/>
    </row>
    <row r="368" spans="1:11" s="144" customFormat="1" ht="13.5">
      <c r="A368" s="1"/>
      <c r="B368" s="68"/>
      <c r="C368" s="1"/>
      <c r="D368" s="1"/>
      <c r="E368" s="3"/>
      <c r="G368" s="63"/>
      <c r="H368" s="63"/>
      <c r="I368" s="1"/>
      <c r="J368" s="1"/>
      <c r="K368" s="1"/>
    </row>
    <row r="369" spans="1:11" s="144" customFormat="1" ht="13.5">
      <c r="A369" s="1"/>
      <c r="B369" s="68"/>
      <c r="C369" s="1"/>
      <c r="D369" s="1"/>
      <c r="E369" s="3"/>
      <c r="G369" s="63"/>
      <c r="H369" s="63"/>
      <c r="I369" s="1"/>
      <c r="J369" s="1"/>
      <c r="K369" s="1"/>
    </row>
    <row r="370" spans="1:11" s="144" customFormat="1" ht="13.5">
      <c r="A370" s="1"/>
      <c r="B370" s="68"/>
      <c r="C370" s="1"/>
      <c r="D370" s="1"/>
      <c r="E370" s="3"/>
      <c r="G370" s="63"/>
      <c r="H370" s="63"/>
      <c r="I370" s="1"/>
      <c r="J370" s="1"/>
      <c r="K370" s="1"/>
    </row>
    <row r="371" spans="1:11" s="144" customFormat="1" ht="13.5">
      <c r="A371" s="1"/>
      <c r="B371" s="68"/>
      <c r="C371" s="1"/>
      <c r="D371" s="1"/>
      <c r="E371" s="3"/>
      <c r="G371" s="63"/>
      <c r="H371" s="63"/>
      <c r="I371" s="1"/>
      <c r="J371" s="1"/>
      <c r="K371" s="1"/>
    </row>
    <row r="372" spans="1:11" s="144" customFormat="1" ht="13.5">
      <c r="A372" s="1"/>
      <c r="B372" s="68"/>
      <c r="C372" s="1"/>
      <c r="D372" s="1"/>
      <c r="E372" s="3"/>
      <c r="G372" s="63"/>
      <c r="H372" s="63"/>
      <c r="I372" s="1"/>
      <c r="J372" s="1"/>
      <c r="K372" s="1"/>
    </row>
    <row r="373" spans="1:11" s="144" customFormat="1" ht="13.5">
      <c r="A373" s="1"/>
      <c r="B373" s="68"/>
      <c r="C373" s="1"/>
      <c r="D373" s="1"/>
      <c r="E373" s="3"/>
      <c r="G373" s="63"/>
      <c r="H373" s="63"/>
      <c r="I373" s="1"/>
      <c r="J373" s="1"/>
      <c r="K373" s="1"/>
    </row>
    <row r="374" spans="1:11" s="144" customFormat="1" ht="13.5">
      <c r="A374" s="1"/>
      <c r="B374" s="68"/>
      <c r="C374" s="1"/>
      <c r="D374" s="1"/>
      <c r="E374" s="3"/>
      <c r="G374" s="63"/>
      <c r="H374" s="63"/>
      <c r="I374" s="1"/>
      <c r="J374" s="1"/>
      <c r="K374" s="1"/>
    </row>
    <row r="375" spans="1:11" s="144" customFormat="1" ht="13.5">
      <c r="A375" s="1"/>
      <c r="B375" s="68"/>
      <c r="C375" s="1"/>
      <c r="D375" s="1"/>
      <c r="E375" s="3"/>
      <c r="G375" s="63"/>
      <c r="H375" s="63"/>
      <c r="I375" s="1"/>
      <c r="J375" s="1"/>
      <c r="K375" s="1"/>
    </row>
    <row r="376" spans="1:11" s="144" customFormat="1" ht="13.5">
      <c r="A376" s="1"/>
      <c r="B376" s="68"/>
      <c r="C376" s="1"/>
      <c r="D376" s="1"/>
      <c r="E376" s="3"/>
      <c r="G376" s="63"/>
      <c r="H376" s="63"/>
      <c r="I376" s="1"/>
      <c r="J376" s="1"/>
      <c r="K376" s="1"/>
    </row>
    <row r="377" spans="1:11" s="144" customFormat="1" ht="13.5">
      <c r="A377" s="1"/>
      <c r="B377" s="68"/>
      <c r="C377" s="1"/>
      <c r="D377" s="1"/>
      <c r="E377" s="3"/>
      <c r="G377" s="63"/>
      <c r="H377" s="63"/>
      <c r="I377" s="1"/>
      <c r="J377" s="1"/>
      <c r="K377" s="1"/>
    </row>
    <row r="378" spans="1:11" s="144" customFormat="1" ht="13.5">
      <c r="A378" s="1"/>
      <c r="B378" s="68"/>
      <c r="C378" s="1"/>
      <c r="D378" s="1"/>
      <c r="E378" s="3"/>
      <c r="G378" s="63"/>
      <c r="H378" s="63"/>
      <c r="I378" s="1"/>
      <c r="J378" s="1"/>
      <c r="K378" s="1"/>
    </row>
    <row r="379" spans="1:11" s="144" customFormat="1" ht="13.5">
      <c r="A379" s="1"/>
      <c r="B379" s="68"/>
      <c r="C379" s="1"/>
      <c r="D379" s="1"/>
      <c r="E379" s="3"/>
      <c r="G379" s="63"/>
      <c r="H379" s="63"/>
      <c r="I379" s="1"/>
      <c r="J379" s="1"/>
      <c r="K379" s="1"/>
    </row>
    <row r="380" spans="1:11" s="144" customFormat="1" ht="13.5">
      <c r="A380" s="1"/>
      <c r="B380" s="68"/>
      <c r="C380" s="1"/>
      <c r="D380" s="1"/>
      <c r="E380" s="3"/>
      <c r="G380" s="63"/>
      <c r="H380" s="63"/>
      <c r="I380" s="1"/>
      <c r="J380" s="1"/>
      <c r="K380" s="1"/>
    </row>
    <row r="381" spans="1:11" s="144" customFormat="1" ht="13.5">
      <c r="A381" s="1"/>
      <c r="B381" s="68"/>
      <c r="C381" s="1"/>
      <c r="D381" s="1"/>
      <c r="E381" s="3"/>
      <c r="G381" s="63"/>
      <c r="H381" s="63"/>
      <c r="I381" s="1"/>
      <c r="J381" s="1"/>
      <c r="K381" s="1"/>
    </row>
    <row r="382" spans="1:11" s="144" customFormat="1" ht="13.5">
      <c r="A382" s="1"/>
      <c r="B382" s="68"/>
      <c r="C382" s="1"/>
      <c r="D382" s="1"/>
      <c r="E382" s="3"/>
      <c r="G382" s="63"/>
      <c r="H382" s="63"/>
      <c r="I382" s="1"/>
      <c r="J382" s="1"/>
      <c r="K382" s="1"/>
    </row>
    <row r="383" spans="1:11" s="144" customFormat="1" ht="13.5">
      <c r="A383" s="1"/>
      <c r="B383" s="68"/>
      <c r="C383" s="1"/>
      <c r="D383" s="1"/>
      <c r="E383" s="3"/>
      <c r="G383" s="63"/>
      <c r="H383" s="63"/>
      <c r="I383" s="1"/>
      <c r="J383" s="1"/>
      <c r="K383" s="1"/>
    </row>
    <row r="384" spans="1:11" s="144" customFormat="1" ht="13.5">
      <c r="A384" s="1"/>
      <c r="B384" s="68"/>
      <c r="C384" s="1"/>
      <c r="D384" s="1"/>
      <c r="E384" s="3"/>
      <c r="G384" s="63"/>
      <c r="H384" s="63"/>
      <c r="I384" s="1"/>
      <c r="J384" s="1"/>
      <c r="K384" s="1"/>
    </row>
    <row r="385" spans="1:11" s="144" customFormat="1" ht="13.5">
      <c r="A385" s="1"/>
      <c r="B385" s="68"/>
      <c r="C385" s="1"/>
      <c r="D385" s="1"/>
      <c r="E385" s="3"/>
      <c r="G385" s="63"/>
      <c r="H385" s="63"/>
      <c r="I385" s="1"/>
      <c r="J385" s="1"/>
      <c r="K385" s="1"/>
    </row>
    <row r="386" spans="1:11" s="144" customFormat="1" ht="13.5">
      <c r="A386" s="1"/>
      <c r="B386" s="68"/>
      <c r="C386" s="1"/>
      <c r="D386" s="1"/>
      <c r="E386" s="3"/>
      <c r="G386" s="63"/>
      <c r="H386" s="63"/>
      <c r="I386" s="1"/>
      <c r="J386" s="1"/>
      <c r="K386" s="1"/>
    </row>
    <row r="387" spans="1:11" s="144" customFormat="1" ht="13.5">
      <c r="A387" s="1"/>
      <c r="B387" s="68"/>
      <c r="C387" s="1"/>
      <c r="D387" s="1"/>
      <c r="E387" s="3"/>
      <c r="G387" s="63"/>
      <c r="H387" s="63"/>
      <c r="I387" s="1"/>
      <c r="J387" s="1"/>
      <c r="K387" s="1"/>
    </row>
    <row r="388" spans="1:11" s="144" customFormat="1" ht="13.5">
      <c r="A388" s="1"/>
      <c r="B388" s="68"/>
      <c r="C388" s="1"/>
      <c r="D388" s="1"/>
      <c r="E388" s="3"/>
      <c r="G388" s="63"/>
      <c r="H388" s="63"/>
      <c r="I388" s="1"/>
      <c r="J388" s="1"/>
      <c r="K388" s="1"/>
    </row>
    <row r="389" spans="1:11" s="144" customFormat="1" ht="13.5">
      <c r="A389" s="1"/>
      <c r="B389" s="68"/>
      <c r="C389" s="1"/>
      <c r="D389" s="1"/>
      <c r="E389" s="3"/>
      <c r="G389" s="63"/>
      <c r="H389" s="63"/>
      <c r="I389" s="1"/>
      <c r="J389" s="1"/>
      <c r="K389" s="1"/>
    </row>
    <row r="390" spans="1:11" s="144" customFormat="1" ht="13.5">
      <c r="A390" s="1"/>
      <c r="B390" s="68"/>
      <c r="C390" s="1"/>
      <c r="D390" s="1"/>
      <c r="E390" s="3"/>
      <c r="G390" s="63"/>
      <c r="H390" s="63"/>
      <c r="I390" s="1"/>
      <c r="J390" s="1"/>
      <c r="K390" s="1"/>
    </row>
    <row r="391" spans="1:11" s="144" customFormat="1" ht="13.5">
      <c r="A391" s="1"/>
      <c r="B391" s="68"/>
      <c r="C391" s="1"/>
      <c r="D391" s="1"/>
      <c r="E391" s="3"/>
      <c r="G391" s="63"/>
      <c r="H391" s="63"/>
      <c r="I391" s="1"/>
      <c r="J391" s="1"/>
      <c r="K391" s="1"/>
    </row>
    <row r="392" spans="1:11" s="144" customFormat="1" ht="13.5">
      <c r="A392" s="1"/>
      <c r="B392" s="68"/>
      <c r="C392" s="1"/>
      <c r="D392" s="1"/>
      <c r="E392" s="3"/>
      <c r="G392" s="63"/>
      <c r="H392" s="63"/>
      <c r="I392" s="1"/>
      <c r="J392" s="1"/>
      <c r="K392" s="1"/>
    </row>
    <row r="393" spans="1:11" s="144" customFormat="1" ht="13.5">
      <c r="A393" s="1"/>
      <c r="B393" s="68"/>
      <c r="C393" s="1"/>
      <c r="D393" s="1"/>
      <c r="E393" s="3"/>
      <c r="G393" s="63"/>
      <c r="H393" s="63"/>
      <c r="I393" s="1"/>
      <c r="J393" s="1"/>
      <c r="K393" s="1"/>
    </row>
    <row r="394" spans="1:11" s="144" customFormat="1" ht="13.5">
      <c r="A394" s="1"/>
      <c r="B394" s="68"/>
      <c r="C394" s="1"/>
      <c r="D394" s="1"/>
      <c r="E394" s="3"/>
      <c r="G394" s="63"/>
      <c r="H394" s="63"/>
      <c r="I394" s="1"/>
      <c r="J394" s="1"/>
      <c r="K394" s="1"/>
    </row>
    <row r="395" spans="1:11" s="144" customFormat="1" ht="13.5">
      <c r="A395" s="1"/>
      <c r="B395" s="68"/>
      <c r="C395" s="1"/>
      <c r="D395" s="1"/>
      <c r="E395" s="3"/>
      <c r="G395" s="63"/>
      <c r="H395" s="63"/>
      <c r="I395" s="1"/>
      <c r="J395" s="1"/>
      <c r="K395" s="1"/>
    </row>
    <row r="396" spans="1:11" s="144" customFormat="1" ht="13.5">
      <c r="A396" s="1"/>
      <c r="B396" s="68"/>
      <c r="C396" s="1"/>
      <c r="D396" s="1"/>
      <c r="E396" s="3"/>
      <c r="G396" s="63"/>
      <c r="H396" s="63"/>
      <c r="I396" s="1"/>
      <c r="J396" s="1"/>
      <c r="K396" s="1"/>
    </row>
    <row r="397" spans="1:11" s="144" customFormat="1" ht="13.5">
      <c r="A397" s="1"/>
      <c r="B397" s="68"/>
      <c r="C397" s="1"/>
      <c r="D397" s="1"/>
      <c r="E397" s="3"/>
      <c r="G397" s="63"/>
      <c r="H397" s="63"/>
      <c r="I397" s="1"/>
      <c r="J397" s="1"/>
      <c r="K397" s="1"/>
    </row>
    <row r="398" spans="1:11" s="144" customFormat="1" ht="13.5">
      <c r="A398" s="1"/>
      <c r="B398" s="68"/>
      <c r="C398" s="1"/>
      <c r="D398" s="1"/>
      <c r="E398" s="3"/>
      <c r="G398" s="63"/>
      <c r="H398" s="63"/>
      <c r="I398" s="1"/>
      <c r="J398" s="1"/>
      <c r="K398" s="1"/>
    </row>
    <row r="399" spans="1:11" s="144" customFormat="1" ht="13.5">
      <c r="A399" s="1"/>
      <c r="B399" s="68"/>
      <c r="C399" s="1"/>
      <c r="D399" s="1"/>
      <c r="E399" s="3"/>
      <c r="G399" s="63"/>
      <c r="H399" s="63"/>
      <c r="I399" s="1"/>
      <c r="J399" s="1"/>
      <c r="K399" s="1"/>
    </row>
    <row r="400" spans="1:11" s="144" customFormat="1" ht="13.5">
      <c r="A400" s="1"/>
      <c r="B400" s="68"/>
      <c r="C400" s="1"/>
      <c r="D400" s="1"/>
      <c r="E400" s="3"/>
      <c r="G400" s="63"/>
      <c r="H400" s="63"/>
      <c r="I400" s="1"/>
      <c r="J400" s="1"/>
      <c r="K400" s="1"/>
    </row>
    <row r="401" spans="1:11" s="144" customFormat="1" ht="13.5">
      <c r="A401" s="1"/>
      <c r="B401" s="68"/>
      <c r="C401" s="1"/>
      <c r="D401" s="1"/>
      <c r="E401" s="3"/>
      <c r="G401" s="63"/>
      <c r="H401" s="63"/>
      <c r="I401" s="1"/>
      <c r="J401" s="1"/>
      <c r="K401" s="1"/>
    </row>
    <row r="402" spans="1:11" s="144" customFormat="1" ht="13.5">
      <c r="A402" s="1"/>
      <c r="B402" s="68"/>
      <c r="C402" s="1"/>
      <c r="D402" s="1"/>
      <c r="E402" s="3"/>
      <c r="G402" s="63"/>
      <c r="H402" s="63"/>
      <c r="I402" s="1"/>
      <c r="J402" s="1"/>
      <c r="K402" s="1"/>
    </row>
    <row r="403" spans="1:11" s="144" customFormat="1" ht="13.5">
      <c r="A403" s="1"/>
      <c r="B403" s="68"/>
      <c r="C403" s="1"/>
      <c r="D403" s="1"/>
      <c r="E403" s="3"/>
      <c r="G403" s="63"/>
      <c r="H403" s="63"/>
      <c r="I403" s="1"/>
      <c r="J403" s="1"/>
      <c r="K403" s="1"/>
    </row>
    <row r="404" spans="1:11" s="144" customFormat="1" ht="13.5">
      <c r="A404" s="1"/>
      <c r="B404" s="68"/>
      <c r="C404" s="1"/>
      <c r="D404" s="1"/>
      <c r="E404" s="3"/>
      <c r="G404" s="63"/>
      <c r="H404" s="63"/>
      <c r="I404" s="1"/>
      <c r="J404" s="1"/>
      <c r="K404" s="1"/>
    </row>
    <row r="405" spans="1:11" s="144" customFormat="1" ht="13.5">
      <c r="A405" s="1"/>
      <c r="B405" s="68"/>
      <c r="C405" s="1"/>
      <c r="D405" s="1"/>
      <c r="E405" s="3"/>
      <c r="G405" s="63"/>
      <c r="H405" s="63"/>
      <c r="I405" s="1"/>
      <c r="J405" s="1"/>
      <c r="K405" s="1"/>
    </row>
    <row r="406" spans="1:11" s="144" customFormat="1" ht="13.5">
      <c r="A406" s="1"/>
      <c r="B406" s="68"/>
      <c r="C406" s="1"/>
      <c r="D406" s="1"/>
      <c r="E406" s="3"/>
      <c r="G406" s="63"/>
      <c r="H406" s="63"/>
      <c r="I406" s="1"/>
      <c r="J406" s="1"/>
      <c r="K406" s="1"/>
    </row>
    <row r="407" spans="1:11" s="144" customFormat="1" ht="13.5">
      <c r="A407" s="1"/>
      <c r="B407" s="68"/>
      <c r="C407" s="1"/>
      <c r="D407" s="1"/>
      <c r="E407" s="3"/>
      <c r="G407" s="63"/>
      <c r="H407" s="63"/>
      <c r="I407" s="1"/>
      <c r="J407" s="1"/>
      <c r="K407" s="1"/>
    </row>
    <row r="408" spans="1:11" s="144" customFormat="1" ht="13.5">
      <c r="A408" s="1"/>
      <c r="B408" s="68"/>
      <c r="C408" s="1"/>
      <c r="D408" s="1"/>
      <c r="E408" s="3"/>
      <c r="G408" s="63"/>
      <c r="H408" s="63"/>
      <c r="I408" s="1"/>
      <c r="J408" s="1"/>
      <c r="K408" s="1"/>
    </row>
    <row r="409" spans="1:11" s="144" customFormat="1" ht="13.5">
      <c r="A409" s="1"/>
      <c r="B409" s="68"/>
      <c r="C409" s="1"/>
      <c r="D409" s="1"/>
      <c r="E409" s="3"/>
      <c r="G409" s="63"/>
      <c r="H409" s="63"/>
      <c r="I409" s="1"/>
      <c r="J409" s="1"/>
      <c r="K409" s="1"/>
    </row>
    <row r="410" spans="1:11" s="144" customFormat="1" ht="13.5">
      <c r="A410" s="1"/>
      <c r="B410" s="68"/>
      <c r="C410" s="1"/>
      <c r="D410" s="1"/>
      <c r="E410" s="3"/>
      <c r="G410" s="63"/>
      <c r="H410" s="63"/>
      <c r="I410" s="1"/>
      <c r="J410" s="1"/>
      <c r="K410" s="1"/>
    </row>
    <row r="411" spans="1:11" s="144" customFormat="1" ht="13.5">
      <c r="A411" s="1"/>
      <c r="B411" s="68"/>
      <c r="C411" s="1"/>
      <c r="D411" s="1"/>
      <c r="E411" s="3"/>
      <c r="G411" s="63"/>
      <c r="H411" s="63"/>
      <c r="I411" s="1"/>
      <c r="J411" s="1"/>
      <c r="K411" s="1"/>
    </row>
    <row r="412" spans="1:11" s="144" customFormat="1" ht="13.5">
      <c r="A412" s="1"/>
      <c r="B412" s="68"/>
      <c r="C412" s="1"/>
      <c r="D412" s="1"/>
      <c r="E412" s="3"/>
      <c r="G412" s="63"/>
      <c r="H412" s="63"/>
      <c r="I412" s="1"/>
      <c r="J412" s="1"/>
      <c r="K412" s="1"/>
    </row>
    <row r="413" spans="1:11" s="144" customFormat="1" ht="13.5">
      <c r="A413" s="1"/>
      <c r="B413" s="68"/>
      <c r="C413" s="1"/>
      <c r="D413" s="1"/>
      <c r="E413" s="3"/>
      <c r="G413" s="63"/>
      <c r="H413" s="63"/>
      <c r="I413" s="1"/>
      <c r="J413" s="1"/>
      <c r="K413" s="1"/>
    </row>
    <row r="414" spans="1:11" s="144" customFormat="1" ht="13.5">
      <c r="A414" s="1"/>
      <c r="B414" s="68"/>
      <c r="C414" s="1"/>
      <c r="D414" s="1"/>
      <c r="E414" s="3"/>
      <c r="G414" s="63"/>
      <c r="H414" s="63"/>
      <c r="I414" s="1"/>
      <c r="J414" s="1"/>
      <c r="K414" s="1"/>
    </row>
    <row r="415" spans="1:11" s="144" customFormat="1" ht="13.5">
      <c r="A415" s="1"/>
      <c r="B415" s="68"/>
      <c r="C415" s="1"/>
      <c r="D415" s="1"/>
      <c r="E415" s="3"/>
      <c r="G415" s="63"/>
      <c r="H415" s="63"/>
      <c r="I415" s="1"/>
      <c r="J415" s="1"/>
      <c r="K415" s="1"/>
    </row>
    <row r="416" spans="1:11" s="144" customFormat="1" ht="13.5">
      <c r="A416" s="1"/>
      <c r="B416" s="68"/>
      <c r="C416" s="1"/>
      <c r="D416" s="1"/>
      <c r="E416" s="3"/>
      <c r="G416" s="63"/>
      <c r="H416" s="63"/>
      <c r="I416" s="1"/>
      <c r="J416" s="1"/>
      <c r="K416" s="1"/>
    </row>
    <row r="417" spans="1:11" s="144" customFormat="1" ht="13.5">
      <c r="A417" s="1"/>
      <c r="B417" s="68"/>
      <c r="C417" s="1"/>
      <c r="D417" s="1"/>
      <c r="E417" s="3"/>
      <c r="G417" s="63"/>
      <c r="H417" s="63"/>
      <c r="I417" s="1"/>
      <c r="J417" s="1"/>
      <c r="K417" s="1"/>
    </row>
    <row r="418" spans="1:11" s="144" customFormat="1" ht="13.5">
      <c r="A418" s="1"/>
      <c r="B418" s="68"/>
      <c r="C418" s="1"/>
      <c r="D418" s="1"/>
      <c r="E418" s="3"/>
      <c r="G418" s="63"/>
      <c r="H418" s="63"/>
      <c r="I418" s="1"/>
      <c r="J418" s="1"/>
      <c r="K418" s="1"/>
    </row>
    <row r="419" spans="1:11" s="144" customFormat="1" ht="13.5">
      <c r="A419" s="1"/>
      <c r="B419" s="68"/>
      <c r="C419" s="1"/>
      <c r="D419" s="1"/>
      <c r="E419" s="3"/>
      <c r="G419" s="63"/>
      <c r="H419" s="63"/>
      <c r="I419" s="1"/>
      <c r="J419" s="1"/>
      <c r="K419" s="1"/>
    </row>
    <row r="420" spans="1:11" s="144" customFormat="1" ht="13.5">
      <c r="A420" s="1"/>
      <c r="B420" s="68"/>
      <c r="C420" s="1"/>
      <c r="D420" s="1"/>
      <c r="E420" s="3"/>
      <c r="G420" s="63"/>
      <c r="H420" s="63"/>
      <c r="I420" s="1"/>
      <c r="J420" s="1"/>
      <c r="K420" s="1"/>
    </row>
    <row r="421" spans="1:11" s="144" customFormat="1" ht="13.5">
      <c r="A421" s="1"/>
      <c r="B421" s="68"/>
      <c r="C421" s="1"/>
      <c r="D421" s="1"/>
      <c r="E421" s="3"/>
      <c r="G421" s="63"/>
      <c r="H421" s="63"/>
      <c r="I421" s="1"/>
      <c r="J421" s="1"/>
      <c r="K421" s="1"/>
    </row>
    <row r="422" spans="1:11" s="144" customFormat="1" ht="13.5">
      <c r="A422" s="1"/>
      <c r="B422" s="68"/>
      <c r="C422" s="1"/>
      <c r="D422" s="1"/>
      <c r="E422" s="3"/>
      <c r="G422" s="63"/>
      <c r="H422" s="63"/>
      <c r="I422" s="1"/>
      <c r="J422" s="1"/>
      <c r="K422" s="1"/>
    </row>
    <row r="423" spans="1:11" s="144" customFormat="1" ht="13.5">
      <c r="A423" s="1"/>
      <c r="B423" s="68"/>
      <c r="C423" s="1"/>
      <c r="D423" s="1"/>
      <c r="E423" s="3"/>
      <c r="G423" s="63"/>
      <c r="H423" s="63"/>
      <c r="I423" s="1"/>
      <c r="J423" s="1"/>
      <c r="K423" s="1"/>
    </row>
    <row r="424" spans="1:11" s="144" customFormat="1" ht="13.5">
      <c r="A424" s="1"/>
      <c r="B424" s="68"/>
      <c r="C424" s="1"/>
      <c r="D424" s="1"/>
      <c r="E424" s="3"/>
      <c r="G424" s="63"/>
      <c r="H424" s="63"/>
      <c r="I424" s="1"/>
      <c r="J424" s="1"/>
      <c r="K424" s="1"/>
    </row>
    <row r="425" spans="1:11" s="144" customFormat="1" ht="13.5">
      <c r="A425" s="1"/>
      <c r="B425" s="68"/>
      <c r="C425" s="1"/>
      <c r="D425" s="1"/>
      <c r="E425" s="3"/>
      <c r="G425" s="63"/>
      <c r="H425" s="63"/>
      <c r="I425" s="1"/>
      <c r="J425" s="1"/>
      <c r="K425" s="1"/>
    </row>
    <row r="426" spans="1:11" s="144" customFormat="1" ht="13.5">
      <c r="A426" s="1"/>
      <c r="B426" s="68"/>
      <c r="C426" s="1"/>
      <c r="D426" s="1"/>
      <c r="E426" s="3"/>
      <c r="G426" s="63"/>
      <c r="H426" s="63"/>
      <c r="I426" s="1"/>
      <c r="J426" s="1"/>
      <c r="K426" s="1"/>
    </row>
    <row r="427" spans="1:11" s="144" customFormat="1" ht="13.5">
      <c r="A427" s="1"/>
      <c r="B427" s="68"/>
      <c r="C427" s="1"/>
      <c r="D427" s="1"/>
      <c r="E427" s="3"/>
      <c r="G427" s="63"/>
      <c r="H427" s="63"/>
      <c r="I427" s="1"/>
      <c r="J427" s="1"/>
      <c r="K427" s="1"/>
    </row>
    <row r="428" spans="1:11" s="144" customFormat="1" ht="13.5">
      <c r="A428" s="1"/>
      <c r="B428" s="68"/>
      <c r="C428" s="1"/>
      <c r="D428" s="1"/>
      <c r="E428" s="3"/>
      <c r="G428" s="63"/>
      <c r="H428" s="63"/>
      <c r="I428" s="1"/>
      <c r="J428" s="1"/>
      <c r="K428" s="1"/>
    </row>
    <row r="429" spans="1:11" s="144" customFormat="1" ht="13.5">
      <c r="A429" s="1"/>
      <c r="B429" s="68"/>
      <c r="C429" s="1"/>
      <c r="D429" s="1"/>
      <c r="E429" s="3"/>
      <c r="G429" s="63"/>
      <c r="H429" s="63"/>
      <c r="I429" s="1"/>
      <c r="J429" s="1"/>
      <c r="K429" s="1"/>
    </row>
    <row r="430" spans="1:11" s="144" customFormat="1" ht="13.5">
      <c r="A430" s="1"/>
      <c r="B430" s="68"/>
      <c r="C430" s="1"/>
      <c r="D430" s="1"/>
      <c r="E430" s="3"/>
      <c r="G430" s="63"/>
      <c r="H430" s="63"/>
      <c r="I430" s="1"/>
      <c r="J430" s="1"/>
      <c r="K430" s="1"/>
    </row>
    <row r="431" spans="1:11" s="144" customFormat="1" ht="13.5">
      <c r="A431" s="1"/>
      <c r="B431" s="68"/>
      <c r="C431" s="1"/>
      <c r="D431" s="1"/>
      <c r="E431" s="3"/>
      <c r="G431" s="63"/>
      <c r="H431" s="63"/>
      <c r="I431" s="1"/>
      <c r="J431" s="1"/>
      <c r="K431" s="1"/>
    </row>
    <row r="432" spans="1:11" s="144" customFormat="1" ht="13.5">
      <c r="A432" s="1"/>
      <c r="B432" s="68"/>
      <c r="C432" s="1"/>
      <c r="D432" s="1"/>
      <c r="E432" s="3"/>
      <c r="G432" s="63"/>
      <c r="H432" s="63"/>
      <c r="I432" s="1"/>
      <c r="J432" s="1"/>
      <c r="K432" s="1"/>
    </row>
    <row r="433" spans="1:11" s="144" customFormat="1" ht="13.5">
      <c r="A433" s="1"/>
      <c r="B433" s="68"/>
      <c r="C433" s="1"/>
      <c r="D433" s="1"/>
      <c r="E433" s="3"/>
      <c r="G433" s="63"/>
      <c r="H433" s="63"/>
      <c r="I433" s="1"/>
      <c r="J433" s="1"/>
      <c r="K433" s="1"/>
    </row>
    <row r="434" spans="1:11" s="144" customFormat="1" ht="13.5">
      <c r="A434" s="1"/>
      <c r="B434" s="68"/>
      <c r="C434" s="1"/>
      <c r="D434" s="1"/>
      <c r="E434" s="3"/>
      <c r="G434" s="63"/>
      <c r="H434" s="63"/>
      <c r="I434" s="1"/>
      <c r="J434" s="1"/>
      <c r="K434" s="1"/>
    </row>
    <row r="435" spans="1:11" s="144" customFormat="1" ht="13.5">
      <c r="A435" s="1"/>
      <c r="B435" s="68"/>
      <c r="C435" s="1"/>
      <c r="D435" s="1"/>
      <c r="E435" s="3"/>
      <c r="G435" s="63"/>
      <c r="H435" s="63"/>
      <c r="I435" s="1"/>
      <c r="J435" s="1"/>
      <c r="K435" s="1"/>
    </row>
    <row r="436" spans="1:11" s="144" customFormat="1" ht="13.5">
      <c r="A436" s="1"/>
      <c r="B436" s="68"/>
      <c r="C436" s="1"/>
      <c r="D436" s="1"/>
      <c r="E436" s="3"/>
      <c r="G436" s="63"/>
      <c r="H436" s="63"/>
      <c r="I436" s="1"/>
      <c r="J436" s="1"/>
      <c r="K436" s="1"/>
    </row>
    <row r="437" spans="1:11" s="144" customFormat="1" ht="13.5">
      <c r="A437" s="1"/>
      <c r="B437" s="68"/>
      <c r="C437" s="1"/>
      <c r="D437" s="1"/>
      <c r="E437" s="3"/>
      <c r="G437" s="63"/>
      <c r="H437" s="63"/>
      <c r="I437" s="1"/>
      <c r="J437" s="1"/>
      <c r="K437" s="1"/>
    </row>
    <row r="438" spans="1:11" s="144" customFormat="1" ht="13.5">
      <c r="A438" s="1"/>
      <c r="B438" s="68"/>
      <c r="C438" s="1"/>
      <c r="D438" s="1"/>
      <c r="E438" s="3"/>
      <c r="G438" s="63"/>
      <c r="H438" s="63"/>
      <c r="I438" s="1"/>
      <c r="J438" s="1"/>
      <c r="K438" s="1"/>
    </row>
    <row r="439" spans="1:11" s="144" customFormat="1" ht="13.5">
      <c r="A439" s="1"/>
      <c r="B439" s="68"/>
      <c r="C439" s="1"/>
      <c r="D439" s="1"/>
      <c r="E439" s="3"/>
      <c r="G439" s="63"/>
      <c r="H439" s="63"/>
      <c r="I439" s="1"/>
      <c r="J439" s="1"/>
      <c r="K439" s="1"/>
    </row>
    <row r="440" spans="1:11" s="144" customFormat="1" ht="13.5">
      <c r="A440" s="1"/>
      <c r="B440" s="68"/>
      <c r="C440" s="1"/>
      <c r="D440" s="1"/>
      <c r="E440" s="3"/>
      <c r="G440" s="63"/>
      <c r="H440" s="63"/>
      <c r="I440" s="1"/>
      <c r="J440" s="1"/>
      <c r="K440" s="1"/>
    </row>
    <row r="441" spans="1:11" s="144" customFormat="1" ht="13.5">
      <c r="A441" s="1"/>
      <c r="B441" s="68"/>
      <c r="C441" s="1"/>
      <c r="D441" s="1"/>
      <c r="E441" s="3"/>
      <c r="G441" s="63"/>
      <c r="H441" s="63"/>
      <c r="I441" s="1"/>
      <c r="J441" s="1"/>
      <c r="K441" s="1"/>
    </row>
    <row r="442" spans="1:11" s="144" customFormat="1" ht="13.5">
      <c r="A442" s="1"/>
      <c r="B442" s="68"/>
      <c r="C442" s="1"/>
      <c r="D442" s="1"/>
      <c r="E442" s="3"/>
      <c r="G442" s="63"/>
      <c r="H442" s="63"/>
      <c r="I442" s="1"/>
      <c r="J442" s="1"/>
      <c r="K442" s="1"/>
    </row>
    <row r="443" spans="1:11" s="144" customFormat="1" ht="13.5">
      <c r="A443" s="1"/>
      <c r="B443" s="68"/>
      <c r="C443" s="1"/>
      <c r="D443" s="1"/>
      <c r="E443" s="3"/>
      <c r="G443" s="63"/>
      <c r="H443" s="63"/>
      <c r="I443" s="1"/>
      <c r="J443" s="1"/>
      <c r="K443" s="1"/>
    </row>
    <row r="444" spans="1:11" s="144" customFormat="1" ht="13.5">
      <c r="A444" s="1"/>
      <c r="B444" s="68"/>
      <c r="C444" s="1"/>
      <c r="D444" s="1"/>
      <c r="E444" s="3"/>
      <c r="G444" s="63"/>
      <c r="H444" s="63"/>
      <c r="I444" s="1"/>
      <c r="J444" s="1"/>
      <c r="K444" s="1"/>
    </row>
    <row r="445" spans="1:11" s="144" customFormat="1" ht="13.5">
      <c r="A445" s="1"/>
      <c r="B445" s="68"/>
      <c r="C445" s="1"/>
      <c r="D445" s="1"/>
      <c r="E445" s="3"/>
      <c r="G445" s="63"/>
      <c r="H445" s="63"/>
      <c r="I445" s="1"/>
      <c r="J445" s="1"/>
      <c r="K445" s="1"/>
    </row>
    <row r="446" spans="1:11" s="144" customFormat="1" ht="13.5">
      <c r="A446" s="1"/>
      <c r="B446" s="68"/>
      <c r="C446" s="1"/>
      <c r="D446" s="1"/>
      <c r="E446" s="3"/>
      <c r="G446" s="63"/>
      <c r="H446" s="63"/>
      <c r="I446" s="1"/>
      <c r="J446" s="1"/>
      <c r="K446" s="1"/>
    </row>
    <row r="447" spans="1:11" s="144" customFormat="1" ht="13.5">
      <c r="A447" s="1"/>
      <c r="B447" s="68"/>
      <c r="C447" s="1"/>
      <c r="D447" s="1"/>
      <c r="E447" s="3"/>
      <c r="G447" s="63"/>
      <c r="H447" s="63"/>
      <c r="I447" s="1"/>
      <c r="J447" s="1"/>
      <c r="K447" s="1"/>
    </row>
    <row r="448" spans="1:11" s="144" customFormat="1" ht="13.5">
      <c r="A448" s="1"/>
      <c r="B448" s="68"/>
      <c r="C448" s="1"/>
      <c r="D448" s="1"/>
      <c r="E448" s="3"/>
      <c r="G448" s="63"/>
      <c r="H448" s="63"/>
      <c r="I448" s="1"/>
      <c r="J448" s="1"/>
      <c r="K448" s="1"/>
    </row>
    <row r="449" spans="1:11" s="144" customFormat="1" ht="13.5">
      <c r="A449" s="1"/>
      <c r="B449" s="68"/>
      <c r="C449" s="1"/>
      <c r="D449" s="1"/>
      <c r="E449" s="3"/>
      <c r="G449" s="63"/>
      <c r="H449" s="63"/>
      <c r="I449" s="1"/>
      <c r="J449" s="1"/>
      <c r="K449" s="1"/>
    </row>
    <row r="450" spans="1:11" s="144" customFormat="1" ht="13.5">
      <c r="A450" s="1"/>
      <c r="B450" s="68"/>
      <c r="C450" s="1"/>
      <c r="D450" s="1"/>
      <c r="E450" s="3"/>
      <c r="G450" s="63"/>
      <c r="H450" s="63"/>
      <c r="I450" s="1"/>
      <c r="J450" s="1"/>
      <c r="K450" s="1"/>
    </row>
    <row r="451" spans="1:11" s="144" customFormat="1" ht="13.5">
      <c r="A451" s="1"/>
      <c r="B451" s="68"/>
      <c r="C451" s="1"/>
      <c r="D451" s="1"/>
      <c r="E451" s="3"/>
      <c r="G451" s="63"/>
      <c r="H451" s="63"/>
      <c r="I451" s="1"/>
      <c r="J451" s="1"/>
      <c r="K451" s="1"/>
    </row>
    <row r="452" spans="1:11" s="144" customFormat="1" ht="13.5">
      <c r="A452" s="1"/>
      <c r="B452" s="68"/>
      <c r="C452" s="1"/>
      <c r="D452" s="1"/>
      <c r="E452" s="3"/>
      <c r="G452" s="63"/>
      <c r="H452" s="63"/>
      <c r="I452" s="1"/>
      <c r="J452" s="1"/>
      <c r="K452" s="1"/>
    </row>
    <row r="453" spans="1:11" s="144" customFormat="1" ht="13.5">
      <c r="A453" s="1"/>
      <c r="B453" s="68"/>
      <c r="C453" s="1"/>
      <c r="D453" s="1"/>
      <c r="E453" s="3"/>
      <c r="G453" s="63"/>
      <c r="H453" s="63"/>
      <c r="I453" s="1"/>
      <c r="J453" s="1"/>
      <c r="K453" s="1"/>
    </row>
    <row r="454" spans="1:11" s="144" customFormat="1" ht="13.5">
      <c r="A454" s="1"/>
      <c r="B454" s="68"/>
      <c r="C454" s="1"/>
      <c r="D454" s="1"/>
      <c r="E454" s="3"/>
      <c r="G454" s="63"/>
      <c r="H454" s="63"/>
      <c r="I454" s="1"/>
      <c r="J454" s="1"/>
      <c r="K454" s="1"/>
    </row>
    <row r="455" spans="1:11" s="144" customFormat="1" ht="13.5">
      <c r="A455" s="1"/>
      <c r="B455" s="68"/>
      <c r="C455" s="1"/>
      <c r="D455" s="1"/>
      <c r="E455" s="3"/>
      <c r="G455" s="63"/>
      <c r="H455" s="63"/>
      <c r="I455" s="1"/>
      <c r="J455" s="1"/>
      <c r="K455" s="1"/>
    </row>
    <row r="456" spans="1:11" s="144" customFormat="1" ht="13.5">
      <c r="A456" s="1"/>
      <c r="B456" s="68"/>
      <c r="C456" s="1"/>
      <c r="D456" s="1"/>
      <c r="E456" s="3"/>
      <c r="G456" s="63"/>
      <c r="H456" s="63"/>
      <c r="I456" s="1"/>
      <c r="J456" s="1"/>
      <c r="K456" s="1"/>
    </row>
    <row r="457" spans="1:11" s="144" customFormat="1" ht="13.5">
      <c r="A457" s="1"/>
      <c r="B457" s="68"/>
      <c r="C457" s="1"/>
      <c r="D457" s="1"/>
      <c r="E457" s="3"/>
      <c r="G457" s="63"/>
      <c r="H457" s="63"/>
      <c r="I457" s="1"/>
      <c r="J457" s="1"/>
      <c r="K457" s="1"/>
    </row>
    <row r="458" spans="1:11" s="144" customFormat="1" ht="13.5">
      <c r="A458" s="1"/>
      <c r="B458" s="68"/>
      <c r="C458" s="1"/>
      <c r="D458" s="1"/>
      <c r="E458" s="3"/>
      <c r="G458" s="63"/>
      <c r="H458" s="63"/>
      <c r="I458" s="1"/>
      <c r="J458" s="1"/>
      <c r="K458" s="1"/>
    </row>
    <row r="459" spans="1:11" s="144" customFormat="1" ht="13.5">
      <c r="A459" s="1"/>
      <c r="B459" s="68"/>
      <c r="C459" s="1"/>
      <c r="D459" s="1"/>
      <c r="E459" s="3"/>
      <c r="G459" s="63"/>
      <c r="H459" s="63"/>
      <c r="I459" s="1"/>
      <c r="J459" s="1"/>
      <c r="K459" s="1"/>
    </row>
    <row r="460" spans="1:11" s="144" customFormat="1" ht="13.5">
      <c r="A460" s="1"/>
      <c r="B460" s="68"/>
      <c r="C460" s="1"/>
      <c r="D460" s="1"/>
      <c r="E460" s="3"/>
      <c r="G460" s="63"/>
      <c r="H460" s="63"/>
      <c r="I460" s="1"/>
      <c r="J460" s="1"/>
      <c r="K460" s="1"/>
    </row>
    <row r="461" spans="1:11" s="144" customFormat="1" ht="13.5">
      <c r="A461" s="1"/>
      <c r="B461" s="68"/>
      <c r="C461" s="1"/>
      <c r="D461" s="1"/>
      <c r="E461" s="3"/>
      <c r="G461" s="63"/>
      <c r="H461" s="63"/>
      <c r="I461" s="1"/>
      <c r="J461" s="1"/>
      <c r="K461" s="1"/>
    </row>
    <row r="462" spans="1:11" s="144" customFormat="1" ht="13.5">
      <c r="A462" s="1"/>
      <c r="B462" s="68"/>
      <c r="C462" s="1"/>
      <c r="D462" s="1"/>
      <c r="E462" s="3"/>
      <c r="G462" s="63"/>
      <c r="H462" s="63"/>
      <c r="I462" s="1"/>
      <c r="J462" s="1"/>
      <c r="K462" s="1"/>
    </row>
    <row r="463" spans="1:11" s="144" customFormat="1" ht="13.5">
      <c r="A463" s="1"/>
      <c r="B463" s="68"/>
      <c r="C463" s="1"/>
      <c r="D463" s="1"/>
      <c r="E463" s="3"/>
      <c r="G463" s="63"/>
      <c r="H463" s="63"/>
      <c r="I463" s="1"/>
      <c r="J463" s="1"/>
      <c r="K463" s="1"/>
    </row>
    <row r="464" spans="1:11" s="144" customFormat="1" ht="13.5">
      <c r="A464" s="1"/>
      <c r="B464" s="68"/>
      <c r="C464" s="1"/>
      <c r="D464" s="1"/>
      <c r="E464" s="3"/>
      <c r="G464" s="63"/>
      <c r="H464" s="63"/>
      <c r="I464" s="1"/>
      <c r="J464" s="1"/>
      <c r="K464" s="1"/>
    </row>
    <row r="465" spans="1:11" s="144" customFormat="1" ht="13.5">
      <c r="A465" s="1"/>
      <c r="B465" s="68"/>
      <c r="C465" s="1"/>
      <c r="D465" s="1"/>
      <c r="E465" s="3"/>
      <c r="G465" s="63"/>
      <c r="H465" s="63"/>
      <c r="I465" s="1"/>
      <c r="J465" s="1"/>
      <c r="K465" s="1"/>
    </row>
    <row r="466" spans="1:11" s="144" customFormat="1" ht="13.5">
      <c r="A466" s="1"/>
      <c r="B466" s="68"/>
      <c r="C466" s="1"/>
      <c r="D466" s="1"/>
      <c r="E466" s="3"/>
      <c r="G466" s="63"/>
      <c r="H466" s="63"/>
      <c r="I466" s="1"/>
      <c r="J466" s="1"/>
      <c r="K466" s="1"/>
    </row>
    <row r="467" spans="1:11" s="144" customFormat="1" ht="13.5">
      <c r="A467" s="1"/>
      <c r="B467" s="68"/>
      <c r="C467" s="1"/>
      <c r="D467" s="1"/>
      <c r="E467" s="3"/>
      <c r="G467" s="63"/>
      <c r="H467" s="63"/>
      <c r="I467" s="1"/>
      <c r="J467" s="1"/>
      <c r="K467" s="1"/>
    </row>
    <row r="468" spans="1:11" s="144" customFormat="1" ht="13.5">
      <c r="A468" s="1"/>
      <c r="B468" s="68"/>
      <c r="C468" s="1"/>
      <c r="D468" s="1"/>
      <c r="E468" s="3"/>
      <c r="G468" s="63"/>
      <c r="H468" s="63"/>
      <c r="I468" s="1"/>
      <c r="J468" s="1"/>
      <c r="K468" s="1"/>
    </row>
    <row r="469" spans="1:11" s="144" customFormat="1" ht="13.5">
      <c r="A469" s="1"/>
      <c r="B469" s="68"/>
      <c r="C469" s="1"/>
      <c r="D469" s="1"/>
      <c r="E469" s="3"/>
      <c r="G469" s="63"/>
      <c r="H469" s="63"/>
      <c r="I469" s="1"/>
      <c r="J469" s="1"/>
      <c r="K469" s="1"/>
    </row>
    <row r="470" spans="1:11" s="144" customFormat="1" ht="13.5">
      <c r="A470" s="1"/>
      <c r="B470" s="68"/>
      <c r="C470" s="1"/>
      <c r="D470" s="1"/>
      <c r="E470" s="3"/>
      <c r="G470" s="63"/>
      <c r="H470" s="63"/>
      <c r="I470" s="1"/>
      <c r="J470" s="1"/>
      <c r="K470" s="1"/>
    </row>
    <row r="471" spans="1:11" s="144" customFormat="1" ht="13.5">
      <c r="A471" s="1"/>
      <c r="B471" s="68"/>
      <c r="C471" s="1"/>
      <c r="D471" s="1"/>
      <c r="E471" s="3"/>
      <c r="G471" s="63"/>
      <c r="H471" s="63"/>
      <c r="I471" s="1"/>
      <c r="J471" s="1"/>
      <c r="K471" s="1"/>
    </row>
    <row r="472" spans="1:11" s="144" customFormat="1" ht="13.5">
      <c r="A472" s="1"/>
      <c r="B472" s="68"/>
      <c r="C472" s="1"/>
      <c r="D472" s="1"/>
      <c r="E472" s="3"/>
      <c r="G472" s="63"/>
      <c r="H472" s="63"/>
      <c r="I472" s="1"/>
      <c r="J472" s="1"/>
      <c r="K472" s="1"/>
    </row>
    <row r="473" spans="1:11" s="144" customFormat="1" ht="13.5">
      <c r="A473" s="1"/>
      <c r="B473" s="68"/>
      <c r="C473" s="1"/>
      <c r="D473" s="1"/>
      <c r="E473" s="3"/>
      <c r="G473" s="63"/>
      <c r="H473" s="63"/>
      <c r="I473" s="1"/>
      <c r="J473" s="1"/>
      <c r="K473" s="1"/>
    </row>
    <row r="474" spans="1:11" s="144" customFormat="1" ht="13.5">
      <c r="A474" s="1"/>
      <c r="B474" s="68"/>
      <c r="C474" s="1"/>
      <c r="D474" s="1"/>
      <c r="E474" s="3"/>
      <c r="G474" s="63"/>
      <c r="H474" s="63"/>
      <c r="I474" s="1"/>
      <c r="J474" s="1"/>
      <c r="K474" s="1"/>
    </row>
    <row r="475" spans="1:11" s="144" customFormat="1" ht="13.5">
      <c r="A475" s="1"/>
      <c r="B475" s="68"/>
      <c r="C475" s="1"/>
      <c r="D475" s="1"/>
      <c r="E475" s="3"/>
      <c r="G475" s="63"/>
      <c r="H475" s="63"/>
      <c r="I475" s="1"/>
      <c r="J475" s="1"/>
      <c r="K475" s="1"/>
    </row>
    <row r="476" spans="1:11" s="144" customFormat="1" ht="13.5">
      <c r="A476" s="1"/>
      <c r="B476" s="68"/>
      <c r="C476" s="1"/>
      <c r="D476" s="1"/>
      <c r="E476" s="3"/>
      <c r="G476" s="63"/>
      <c r="H476" s="63"/>
      <c r="I476" s="1"/>
      <c r="J476" s="1"/>
      <c r="K476" s="1"/>
    </row>
    <row r="477" spans="1:11" s="144" customFormat="1" ht="13.5">
      <c r="A477" s="1"/>
      <c r="B477" s="68"/>
      <c r="C477" s="1"/>
      <c r="D477" s="1"/>
      <c r="E477" s="3"/>
      <c r="G477" s="63"/>
      <c r="H477" s="63"/>
      <c r="I477" s="1"/>
      <c r="J477" s="1"/>
      <c r="K477" s="1"/>
    </row>
    <row r="478" spans="1:11" s="144" customFormat="1" ht="13.5">
      <c r="A478" s="1"/>
      <c r="B478" s="68"/>
      <c r="C478" s="1"/>
      <c r="D478" s="1"/>
      <c r="E478" s="3"/>
      <c r="G478" s="63"/>
      <c r="H478" s="63"/>
      <c r="I478" s="1"/>
      <c r="J478" s="1"/>
      <c r="K478" s="1"/>
    </row>
    <row r="479" spans="1:11" s="144" customFormat="1" ht="13.5">
      <c r="A479" s="1"/>
      <c r="B479" s="68"/>
      <c r="C479" s="1"/>
      <c r="D479" s="1"/>
      <c r="E479" s="3"/>
      <c r="G479" s="63"/>
      <c r="H479" s="63"/>
      <c r="I479" s="1"/>
      <c r="J479" s="1"/>
      <c r="K479" s="1"/>
    </row>
    <row r="480" spans="1:11" s="144" customFormat="1" ht="13.5">
      <c r="A480" s="1"/>
      <c r="B480" s="68"/>
      <c r="C480" s="1"/>
      <c r="D480" s="1"/>
      <c r="E480" s="3"/>
      <c r="G480" s="63"/>
      <c r="H480" s="63"/>
      <c r="I480" s="1"/>
      <c r="J480" s="1"/>
      <c r="K480" s="1"/>
    </row>
    <row r="481" spans="1:11" s="144" customFormat="1" ht="13.5">
      <c r="A481" s="1"/>
      <c r="B481" s="68"/>
      <c r="C481" s="1"/>
      <c r="D481" s="1"/>
      <c r="E481" s="3"/>
      <c r="G481" s="63"/>
      <c r="H481" s="63"/>
      <c r="I481" s="1"/>
      <c r="J481" s="1"/>
      <c r="K481" s="1"/>
    </row>
    <row r="482" spans="1:11" s="144" customFormat="1" ht="13.5">
      <c r="A482" s="1"/>
      <c r="B482" s="68"/>
      <c r="C482" s="1"/>
      <c r="D482" s="1"/>
      <c r="E482" s="3"/>
      <c r="G482" s="63"/>
      <c r="H482" s="63"/>
      <c r="I482" s="1"/>
      <c r="J482" s="1"/>
      <c r="K482" s="1"/>
    </row>
    <row r="483" spans="1:11" s="144" customFormat="1" ht="13.5">
      <c r="A483" s="1"/>
      <c r="B483" s="68"/>
      <c r="C483" s="1"/>
      <c r="D483" s="1"/>
      <c r="E483" s="3"/>
      <c r="G483" s="63"/>
      <c r="H483" s="63"/>
      <c r="I483" s="1"/>
      <c r="J483" s="1"/>
      <c r="K483" s="1"/>
    </row>
    <row r="484" spans="1:11" s="144" customFormat="1" ht="13.5">
      <c r="A484" s="1"/>
      <c r="B484" s="68"/>
      <c r="C484" s="1"/>
      <c r="D484" s="1"/>
      <c r="E484" s="3"/>
      <c r="G484" s="63"/>
      <c r="H484" s="63"/>
      <c r="I484" s="1"/>
      <c r="J484" s="1"/>
      <c r="K484" s="1"/>
    </row>
    <row r="485" spans="1:11" s="144" customFormat="1" ht="13.5">
      <c r="A485" s="1"/>
      <c r="B485" s="68"/>
      <c r="C485" s="1"/>
      <c r="D485" s="1"/>
      <c r="E485" s="3"/>
      <c r="G485" s="63"/>
      <c r="H485" s="63"/>
      <c r="I485" s="1"/>
      <c r="J485" s="1"/>
      <c r="K485" s="1"/>
    </row>
    <row r="486" spans="1:11" s="144" customFormat="1" ht="13.5">
      <c r="A486" s="1"/>
      <c r="B486" s="68"/>
      <c r="C486" s="1"/>
      <c r="D486" s="1"/>
      <c r="E486" s="3"/>
      <c r="G486" s="63"/>
      <c r="H486" s="63"/>
      <c r="I486" s="1"/>
      <c r="J486" s="1"/>
      <c r="K486" s="1"/>
    </row>
    <row r="487" spans="1:11" s="144" customFormat="1" ht="13.5">
      <c r="A487" s="1"/>
      <c r="B487" s="68"/>
      <c r="C487" s="1"/>
      <c r="D487" s="1"/>
      <c r="E487" s="3"/>
      <c r="G487" s="63"/>
      <c r="H487" s="63"/>
      <c r="I487" s="1"/>
      <c r="J487" s="1"/>
      <c r="K487" s="1"/>
    </row>
    <row r="488" spans="1:11" s="144" customFormat="1" ht="13.5">
      <c r="A488" s="1"/>
      <c r="B488" s="68"/>
      <c r="C488" s="1"/>
      <c r="D488" s="1"/>
      <c r="E488" s="3"/>
      <c r="G488" s="63"/>
      <c r="H488" s="63"/>
      <c r="I488" s="1"/>
      <c r="J488" s="1"/>
      <c r="K488" s="1"/>
    </row>
    <row r="489" spans="1:11" s="144" customFormat="1" ht="13.5">
      <c r="A489" s="1"/>
      <c r="B489" s="68"/>
      <c r="C489" s="1"/>
      <c r="D489" s="1"/>
      <c r="E489" s="3"/>
      <c r="G489" s="63"/>
      <c r="H489" s="63"/>
      <c r="I489" s="1"/>
      <c r="J489" s="1"/>
      <c r="K489" s="1"/>
    </row>
    <row r="490" spans="1:11" s="144" customFormat="1" ht="13.5">
      <c r="A490" s="1"/>
      <c r="B490" s="68"/>
      <c r="C490" s="1"/>
      <c r="D490" s="1"/>
      <c r="E490" s="3"/>
      <c r="G490" s="63"/>
      <c r="H490" s="63"/>
      <c r="I490" s="1"/>
      <c r="J490" s="1"/>
      <c r="K490" s="1"/>
    </row>
    <row r="491" spans="1:11" s="144" customFormat="1" ht="13.5">
      <c r="A491" s="1"/>
      <c r="B491" s="68"/>
      <c r="C491" s="1"/>
      <c r="D491" s="1"/>
      <c r="E491" s="3"/>
      <c r="G491" s="63"/>
      <c r="H491" s="63"/>
      <c r="I491" s="1"/>
      <c r="J491" s="1"/>
      <c r="K491" s="1"/>
    </row>
    <row r="492" spans="1:11" s="144" customFormat="1" ht="13.5">
      <c r="A492" s="1"/>
      <c r="B492" s="68"/>
      <c r="C492" s="1"/>
      <c r="D492" s="1"/>
      <c r="E492" s="3"/>
      <c r="G492" s="63"/>
      <c r="H492" s="63"/>
      <c r="I492" s="1"/>
      <c r="J492" s="1"/>
      <c r="K492" s="1"/>
    </row>
    <row r="493" spans="1:11" s="144" customFormat="1" ht="13.5">
      <c r="A493" s="1"/>
      <c r="B493" s="68"/>
      <c r="C493" s="1"/>
      <c r="D493" s="1"/>
      <c r="E493" s="3"/>
      <c r="G493" s="63"/>
      <c r="H493" s="63"/>
      <c r="I493" s="1"/>
      <c r="J493" s="1"/>
      <c r="K493" s="1"/>
    </row>
    <row r="494" spans="1:11" s="144" customFormat="1" ht="13.5">
      <c r="A494" s="1"/>
      <c r="B494" s="68"/>
      <c r="C494" s="1"/>
      <c r="D494" s="1"/>
      <c r="E494" s="3"/>
      <c r="G494" s="63"/>
      <c r="H494" s="63"/>
      <c r="I494" s="1"/>
      <c r="J494" s="1"/>
      <c r="K494" s="1"/>
    </row>
    <row r="495" spans="1:11" s="144" customFormat="1" ht="13.5">
      <c r="A495" s="1"/>
      <c r="B495" s="68"/>
      <c r="C495" s="1"/>
      <c r="D495" s="1"/>
      <c r="E495" s="3"/>
      <c r="G495" s="63"/>
      <c r="H495" s="63"/>
      <c r="I495" s="1"/>
      <c r="J495" s="1"/>
      <c r="K495" s="1"/>
    </row>
    <row r="496" spans="1:11" s="144" customFormat="1" ht="13.5">
      <c r="A496" s="1"/>
      <c r="B496" s="68"/>
      <c r="C496" s="1"/>
      <c r="D496" s="1"/>
      <c r="E496" s="3"/>
      <c r="G496" s="63"/>
      <c r="H496" s="63"/>
      <c r="I496" s="1"/>
      <c r="J496" s="1"/>
      <c r="K496" s="1"/>
    </row>
    <row r="497" spans="1:11" s="144" customFormat="1" ht="13.5">
      <c r="A497" s="1"/>
      <c r="B497" s="68"/>
      <c r="C497" s="1"/>
      <c r="D497" s="1"/>
      <c r="E497" s="3"/>
      <c r="G497" s="63"/>
      <c r="H497" s="63"/>
      <c r="I497" s="1"/>
      <c r="J497" s="1"/>
      <c r="K497" s="1"/>
    </row>
    <row r="498" spans="1:11" s="144" customFormat="1" ht="13.5">
      <c r="A498" s="1"/>
      <c r="B498" s="68"/>
      <c r="C498" s="1"/>
      <c r="D498" s="1"/>
      <c r="E498" s="3"/>
      <c r="G498" s="63"/>
      <c r="H498" s="63"/>
      <c r="I498" s="1"/>
      <c r="J498" s="1"/>
      <c r="K498" s="1"/>
    </row>
    <row r="499" spans="1:11" s="144" customFormat="1" ht="13.5">
      <c r="A499" s="1"/>
      <c r="B499" s="68"/>
      <c r="C499" s="1"/>
      <c r="D499" s="1"/>
      <c r="E499" s="3"/>
      <c r="G499" s="63"/>
      <c r="H499" s="63"/>
      <c r="I499" s="1"/>
      <c r="J499" s="1"/>
      <c r="K499" s="1"/>
    </row>
    <row r="500" spans="1:11" s="144" customFormat="1" ht="13.5">
      <c r="A500" s="1"/>
      <c r="B500" s="68"/>
      <c r="C500" s="1"/>
      <c r="D500" s="1"/>
      <c r="E500" s="3"/>
      <c r="G500" s="63"/>
      <c r="H500" s="63"/>
      <c r="I500" s="1"/>
      <c r="J500" s="1"/>
      <c r="K500" s="1"/>
    </row>
    <row r="501" spans="1:11" s="144" customFormat="1" ht="13.5">
      <c r="A501" s="1"/>
      <c r="B501" s="68"/>
      <c r="C501" s="1"/>
      <c r="D501" s="1"/>
      <c r="E501" s="3"/>
      <c r="G501" s="63"/>
      <c r="H501" s="63"/>
      <c r="I501" s="1"/>
      <c r="J501" s="1"/>
      <c r="K501" s="1"/>
    </row>
    <row r="502" spans="1:11" s="144" customFormat="1" ht="13.5">
      <c r="A502" s="1"/>
      <c r="B502" s="68"/>
      <c r="C502" s="1"/>
      <c r="D502" s="1"/>
      <c r="E502" s="3"/>
      <c r="G502" s="63"/>
      <c r="H502" s="63"/>
      <c r="I502" s="1"/>
      <c r="J502" s="1"/>
      <c r="K502" s="1"/>
    </row>
    <row r="503" spans="1:11" s="144" customFormat="1" ht="13.5">
      <c r="A503" s="1"/>
      <c r="B503" s="68"/>
      <c r="C503" s="1"/>
      <c r="D503" s="1"/>
      <c r="E503" s="3"/>
      <c r="G503" s="63"/>
      <c r="H503" s="63"/>
      <c r="I503" s="1"/>
      <c r="J503" s="1"/>
      <c r="K503" s="1"/>
    </row>
    <row r="504" spans="1:11" s="144" customFormat="1" ht="13.5">
      <c r="A504" s="1"/>
      <c r="B504" s="68"/>
      <c r="C504" s="1"/>
      <c r="D504" s="1"/>
      <c r="E504" s="3"/>
      <c r="G504" s="63"/>
      <c r="H504" s="63"/>
      <c r="I504" s="1"/>
      <c r="J504" s="1"/>
      <c r="K504" s="1"/>
    </row>
    <row r="505" spans="1:11" s="144" customFormat="1" ht="13.5">
      <c r="A505" s="1"/>
      <c r="B505" s="68"/>
      <c r="C505" s="1"/>
      <c r="D505" s="1"/>
      <c r="E505" s="3"/>
      <c r="G505" s="63"/>
      <c r="H505" s="63"/>
      <c r="I505" s="1"/>
      <c r="J505" s="1"/>
      <c r="K505" s="1"/>
    </row>
    <row r="506" spans="1:11" s="144" customFormat="1" ht="13.5">
      <c r="A506" s="1"/>
      <c r="B506" s="68"/>
      <c r="C506" s="1"/>
      <c r="D506" s="1"/>
      <c r="E506" s="3"/>
      <c r="G506" s="63"/>
      <c r="H506" s="63"/>
      <c r="I506" s="1"/>
      <c r="J506" s="1"/>
      <c r="K506" s="1"/>
    </row>
    <row r="507" spans="1:11" s="144" customFormat="1" ht="13.5">
      <c r="A507" s="1"/>
      <c r="B507" s="68"/>
      <c r="C507" s="1"/>
      <c r="D507" s="1"/>
      <c r="E507" s="3"/>
      <c r="G507" s="63"/>
      <c r="H507" s="63"/>
      <c r="I507" s="1"/>
      <c r="J507" s="1"/>
      <c r="K507" s="1"/>
    </row>
    <row r="508" spans="1:11" s="144" customFormat="1" ht="13.5">
      <c r="A508" s="1"/>
      <c r="B508" s="68"/>
      <c r="C508" s="1"/>
      <c r="D508" s="1"/>
      <c r="E508" s="3"/>
      <c r="G508" s="63"/>
      <c r="H508" s="63"/>
      <c r="I508" s="1"/>
      <c r="J508" s="1"/>
      <c r="K508" s="1"/>
    </row>
    <row r="509" spans="1:11" s="144" customFormat="1" ht="13.5">
      <c r="A509" s="1"/>
      <c r="B509" s="68"/>
      <c r="C509" s="1"/>
      <c r="D509" s="1"/>
      <c r="E509" s="3"/>
      <c r="G509" s="63"/>
      <c r="H509" s="63"/>
      <c r="I509" s="1"/>
      <c r="J509" s="1"/>
      <c r="K509" s="1"/>
    </row>
    <row r="510" spans="1:11" s="144" customFormat="1" ht="13.5">
      <c r="A510" s="1"/>
      <c r="B510" s="68"/>
      <c r="C510" s="1"/>
      <c r="D510" s="1"/>
      <c r="E510" s="3"/>
      <c r="G510" s="63"/>
      <c r="H510" s="63"/>
      <c r="I510" s="1"/>
      <c r="J510" s="1"/>
      <c r="K510" s="1"/>
    </row>
    <row r="511" spans="1:11" s="144" customFormat="1" ht="13.5">
      <c r="A511" s="1"/>
      <c r="B511" s="68"/>
      <c r="C511" s="1"/>
      <c r="D511" s="1"/>
      <c r="E511" s="3"/>
      <c r="G511" s="63"/>
      <c r="H511" s="63"/>
      <c r="I511" s="1"/>
      <c r="J511" s="1"/>
      <c r="K511" s="1"/>
    </row>
    <row r="512" spans="1:11" s="144" customFormat="1" ht="13.5">
      <c r="A512" s="1"/>
      <c r="B512" s="68"/>
      <c r="C512" s="1"/>
      <c r="D512" s="1"/>
      <c r="E512" s="3"/>
      <c r="G512" s="63"/>
      <c r="H512" s="63"/>
      <c r="I512" s="1"/>
      <c r="J512" s="1"/>
      <c r="K512" s="1"/>
    </row>
    <row r="513" spans="1:11" s="144" customFormat="1" ht="13.5">
      <c r="A513" s="1"/>
      <c r="B513" s="68"/>
      <c r="C513" s="1"/>
      <c r="D513" s="1"/>
      <c r="E513" s="3"/>
      <c r="G513" s="63"/>
      <c r="H513" s="63"/>
      <c r="I513" s="1"/>
      <c r="J513" s="1"/>
      <c r="K513" s="1"/>
    </row>
    <row r="514" spans="1:11" s="144" customFormat="1" ht="13.5">
      <c r="A514" s="1"/>
      <c r="B514" s="68"/>
      <c r="C514" s="1"/>
      <c r="D514" s="1"/>
      <c r="E514" s="3"/>
      <c r="G514" s="63"/>
      <c r="H514" s="63"/>
      <c r="I514" s="1"/>
      <c r="J514" s="1"/>
      <c r="K514" s="1"/>
    </row>
    <row r="515" spans="1:11" s="144" customFormat="1" ht="13.5">
      <c r="A515" s="1"/>
      <c r="B515" s="68"/>
      <c r="C515" s="1"/>
      <c r="D515" s="1"/>
      <c r="E515" s="3"/>
      <c r="G515" s="63"/>
      <c r="H515" s="63"/>
      <c r="I515" s="1"/>
      <c r="J515" s="1"/>
      <c r="K515" s="1"/>
    </row>
    <row r="516" spans="1:11" s="144" customFormat="1" ht="13.5">
      <c r="A516" s="1"/>
      <c r="B516" s="68"/>
      <c r="C516" s="1"/>
      <c r="D516" s="1"/>
      <c r="E516" s="3"/>
      <c r="G516" s="63"/>
      <c r="H516" s="63"/>
      <c r="I516" s="1"/>
      <c r="J516" s="1"/>
      <c r="K516" s="1"/>
    </row>
    <row r="517" spans="1:11" s="144" customFormat="1" ht="13.5">
      <c r="A517" s="1"/>
      <c r="B517" s="68"/>
      <c r="C517" s="1"/>
      <c r="D517" s="1"/>
      <c r="E517" s="3"/>
      <c r="G517" s="63"/>
      <c r="H517" s="63"/>
      <c r="I517" s="1"/>
      <c r="J517" s="1"/>
      <c r="K517" s="1"/>
    </row>
    <row r="518" spans="1:11" s="144" customFormat="1" ht="13.5">
      <c r="A518" s="1"/>
      <c r="B518" s="68"/>
      <c r="C518" s="1"/>
      <c r="D518" s="1"/>
      <c r="E518" s="3"/>
      <c r="G518" s="63"/>
      <c r="H518" s="63"/>
      <c r="I518" s="1"/>
      <c r="J518" s="1"/>
      <c r="K518" s="1"/>
    </row>
    <row r="519" spans="1:11" s="144" customFormat="1" ht="13.5">
      <c r="A519" s="1"/>
      <c r="B519" s="68"/>
      <c r="C519" s="1"/>
      <c r="D519" s="1"/>
      <c r="E519" s="3"/>
      <c r="G519" s="63"/>
      <c r="H519" s="63"/>
      <c r="I519" s="1"/>
      <c r="J519" s="1"/>
      <c r="K519" s="1"/>
    </row>
    <row r="520" spans="1:11" s="144" customFormat="1" ht="13.5">
      <c r="A520" s="1"/>
      <c r="B520" s="68"/>
      <c r="C520" s="1"/>
      <c r="D520" s="1"/>
      <c r="E520" s="3"/>
      <c r="G520" s="63"/>
      <c r="H520" s="63"/>
      <c r="I520" s="1"/>
      <c r="J520" s="1"/>
      <c r="K520" s="1"/>
    </row>
    <row r="521" spans="1:11" s="144" customFormat="1" ht="13.5">
      <c r="A521" s="1"/>
      <c r="B521" s="68"/>
      <c r="C521" s="1"/>
      <c r="D521" s="1"/>
      <c r="E521" s="3"/>
      <c r="G521" s="63"/>
      <c r="H521" s="63"/>
      <c r="I521" s="1"/>
      <c r="J521" s="1"/>
      <c r="K521" s="1"/>
    </row>
    <row r="522" spans="1:11" s="144" customFormat="1" ht="13.5">
      <c r="A522" s="1"/>
      <c r="B522" s="68"/>
      <c r="C522" s="1"/>
      <c r="D522" s="1"/>
      <c r="E522" s="3"/>
      <c r="G522" s="63"/>
      <c r="H522" s="63"/>
      <c r="I522" s="1"/>
      <c r="J522" s="1"/>
      <c r="K522" s="1"/>
    </row>
    <row r="523" spans="1:11" s="144" customFormat="1" ht="13.5">
      <c r="A523" s="1"/>
      <c r="B523" s="68"/>
      <c r="C523" s="1"/>
      <c r="D523" s="1"/>
      <c r="E523" s="3"/>
      <c r="G523" s="63"/>
      <c r="H523" s="63"/>
      <c r="I523" s="1"/>
      <c r="J523" s="1"/>
      <c r="K523" s="1"/>
    </row>
    <row r="524" spans="1:11" s="144" customFormat="1" ht="13.5">
      <c r="A524" s="1"/>
      <c r="B524" s="68"/>
      <c r="C524" s="1"/>
      <c r="D524" s="1"/>
      <c r="E524" s="3"/>
      <c r="G524" s="63"/>
      <c r="H524" s="63"/>
      <c r="I524" s="1"/>
      <c r="J524" s="1"/>
      <c r="K524" s="1"/>
    </row>
    <row r="525" spans="1:11" s="144" customFormat="1" ht="13.5">
      <c r="A525" s="1"/>
      <c r="B525" s="68"/>
      <c r="C525" s="1"/>
      <c r="D525" s="1"/>
      <c r="E525" s="3"/>
      <c r="G525" s="63"/>
      <c r="H525" s="63"/>
      <c r="I525" s="1"/>
      <c r="J525" s="1"/>
      <c r="K525" s="1"/>
    </row>
    <row r="526" spans="1:11" s="144" customFormat="1" ht="13.5">
      <c r="A526" s="1"/>
      <c r="B526" s="68"/>
      <c r="C526" s="1"/>
      <c r="D526" s="1"/>
      <c r="E526" s="3"/>
      <c r="G526" s="63"/>
      <c r="H526" s="63"/>
      <c r="I526" s="1"/>
      <c r="J526" s="1"/>
      <c r="K526" s="1"/>
    </row>
    <row r="527" spans="1:11" s="144" customFormat="1" ht="13.5">
      <c r="A527" s="1"/>
      <c r="B527" s="68"/>
      <c r="C527" s="1"/>
      <c r="D527" s="1"/>
      <c r="E527" s="3"/>
      <c r="G527" s="63"/>
      <c r="H527" s="63"/>
      <c r="I527" s="1"/>
      <c r="J527" s="1"/>
      <c r="K527" s="1"/>
    </row>
    <row r="528" spans="1:11" s="144" customFormat="1" ht="13.5">
      <c r="A528" s="1"/>
      <c r="B528" s="68"/>
      <c r="C528" s="1"/>
      <c r="D528" s="1"/>
      <c r="E528" s="3"/>
      <c r="G528" s="63"/>
      <c r="H528" s="63"/>
      <c r="I528" s="1"/>
      <c r="J528" s="1"/>
      <c r="K528" s="1"/>
    </row>
    <row r="529" spans="1:11" s="144" customFormat="1" ht="13.5">
      <c r="A529" s="1"/>
      <c r="B529" s="68"/>
      <c r="C529" s="1"/>
      <c r="D529" s="1"/>
      <c r="E529" s="3"/>
      <c r="G529" s="63"/>
      <c r="H529" s="63"/>
      <c r="I529" s="1"/>
      <c r="J529" s="1"/>
      <c r="K529" s="1"/>
    </row>
    <row r="530" spans="1:11" s="144" customFormat="1" ht="13.5">
      <c r="A530" s="1"/>
      <c r="B530" s="68"/>
      <c r="C530" s="1"/>
      <c r="D530" s="1"/>
      <c r="E530" s="3"/>
      <c r="G530" s="63"/>
      <c r="H530" s="63"/>
      <c r="I530" s="1"/>
      <c r="J530" s="1"/>
      <c r="K530" s="1"/>
    </row>
    <row r="531" spans="1:11" s="144" customFormat="1" ht="13.5">
      <c r="A531" s="1"/>
      <c r="B531" s="68"/>
      <c r="C531" s="1"/>
      <c r="D531" s="1"/>
      <c r="E531" s="3"/>
      <c r="G531" s="63"/>
      <c r="H531" s="63"/>
      <c r="I531" s="1"/>
      <c r="J531" s="1"/>
      <c r="K531" s="1"/>
    </row>
    <row r="532" spans="1:11" s="144" customFormat="1" ht="13.5">
      <c r="A532" s="1"/>
      <c r="B532" s="68"/>
      <c r="C532" s="1"/>
      <c r="D532" s="1"/>
      <c r="E532" s="3"/>
      <c r="G532" s="63"/>
      <c r="H532" s="63"/>
      <c r="I532" s="1"/>
      <c r="J532" s="1"/>
      <c r="K532" s="1"/>
    </row>
    <row r="533" spans="1:11" s="144" customFormat="1" ht="13.5">
      <c r="A533" s="1"/>
      <c r="B533" s="68"/>
      <c r="C533" s="1"/>
      <c r="D533" s="1"/>
      <c r="E533" s="3"/>
      <c r="G533" s="63"/>
      <c r="H533" s="63"/>
      <c r="I533" s="1"/>
      <c r="J533" s="1"/>
      <c r="K533" s="1"/>
    </row>
    <row r="534" spans="1:11" s="144" customFormat="1" ht="13.5">
      <c r="A534" s="1"/>
      <c r="B534" s="68"/>
      <c r="C534" s="1"/>
      <c r="D534" s="1"/>
      <c r="E534" s="3"/>
      <c r="G534" s="63"/>
      <c r="H534" s="63"/>
      <c r="I534" s="1"/>
      <c r="J534" s="1"/>
      <c r="K534" s="1"/>
    </row>
    <row r="535" spans="1:11" s="144" customFormat="1" ht="13.5">
      <c r="A535" s="1"/>
      <c r="B535" s="68"/>
      <c r="C535" s="1"/>
      <c r="D535" s="1"/>
      <c r="E535" s="3"/>
      <c r="G535" s="63"/>
      <c r="H535" s="63"/>
      <c r="I535" s="1"/>
      <c r="J535" s="1"/>
      <c r="K535" s="1"/>
    </row>
    <row r="536" spans="1:11" s="144" customFormat="1" ht="13.5">
      <c r="A536" s="1"/>
      <c r="B536" s="68"/>
      <c r="C536" s="1"/>
      <c r="D536" s="1"/>
      <c r="E536" s="3"/>
      <c r="G536" s="63"/>
      <c r="H536" s="63"/>
      <c r="I536" s="1"/>
      <c r="J536" s="1"/>
      <c r="K536" s="1"/>
    </row>
    <row r="537" spans="1:11" s="144" customFormat="1" ht="13.5">
      <c r="A537" s="1"/>
      <c r="B537" s="68"/>
      <c r="C537" s="1"/>
      <c r="D537" s="1"/>
      <c r="E537" s="3"/>
      <c r="G537" s="63"/>
      <c r="H537" s="63"/>
      <c r="I537" s="1"/>
      <c r="J537" s="1"/>
      <c r="K537" s="1"/>
    </row>
    <row r="538" spans="1:11" s="144" customFormat="1" ht="13.5">
      <c r="A538" s="1"/>
      <c r="B538" s="68"/>
      <c r="C538" s="1"/>
      <c r="D538" s="1"/>
      <c r="E538" s="3"/>
      <c r="G538" s="63"/>
      <c r="H538" s="63"/>
      <c r="I538" s="1"/>
      <c r="J538" s="1"/>
      <c r="K538" s="1"/>
    </row>
    <row r="539" spans="1:11" s="144" customFormat="1" ht="13.5">
      <c r="A539" s="1"/>
      <c r="B539" s="68"/>
      <c r="C539" s="1"/>
      <c r="D539" s="1"/>
      <c r="E539" s="3"/>
      <c r="G539" s="63"/>
      <c r="H539" s="63"/>
      <c r="I539" s="1"/>
      <c r="J539" s="1"/>
      <c r="K539" s="1"/>
    </row>
    <row r="540" spans="1:11" s="144" customFormat="1" ht="13.5">
      <c r="A540" s="1"/>
      <c r="B540" s="68"/>
      <c r="C540" s="1"/>
      <c r="D540" s="1"/>
      <c r="E540" s="3"/>
      <c r="G540" s="63"/>
      <c r="H540" s="63"/>
      <c r="I540" s="1"/>
      <c r="J540" s="1"/>
      <c r="K540" s="1"/>
    </row>
    <row r="541" spans="1:11" s="144" customFormat="1" ht="13.5">
      <c r="A541" s="1"/>
      <c r="B541" s="68"/>
      <c r="C541" s="1"/>
      <c r="D541" s="1"/>
      <c r="E541" s="3"/>
      <c r="G541" s="63"/>
      <c r="H541" s="63"/>
      <c r="I541" s="1"/>
      <c r="J541" s="1"/>
      <c r="K541" s="1"/>
    </row>
    <row r="542" spans="1:11" s="144" customFormat="1" ht="13.5">
      <c r="A542" s="1"/>
      <c r="B542" s="68"/>
      <c r="C542" s="1"/>
      <c r="D542" s="1"/>
      <c r="E542" s="3"/>
      <c r="G542" s="63"/>
      <c r="H542" s="63"/>
      <c r="I542" s="1"/>
      <c r="J542" s="1"/>
      <c r="K542" s="1"/>
    </row>
    <row r="543" spans="1:11" s="144" customFormat="1" ht="13.5">
      <c r="A543" s="1"/>
      <c r="B543" s="68"/>
      <c r="C543" s="1"/>
      <c r="D543" s="1"/>
      <c r="E543" s="3"/>
      <c r="G543" s="63"/>
      <c r="H543" s="63"/>
      <c r="I543" s="1"/>
      <c r="J543" s="1"/>
      <c r="K543" s="1"/>
    </row>
    <row r="544" spans="1:11" s="144" customFormat="1" ht="13.5">
      <c r="A544" s="1"/>
      <c r="B544" s="68"/>
      <c r="C544" s="1"/>
      <c r="D544" s="1"/>
      <c r="E544" s="3"/>
      <c r="G544" s="63"/>
      <c r="H544" s="63"/>
      <c r="I544" s="1"/>
      <c r="J544" s="1"/>
      <c r="K544" s="1"/>
    </row>
    <row r="545" spans="1:11" s="144" customFormat="1" ht="13.5">
      <c r="A545" s="1"/>
      <c r="B545" s="68"/>
      <c r="C545" s="1"/>
      <c r="D545" s="1"/>
      <c r="E545" s="3"/>
      <c r="G545" s="63"/>
      <c r="H545" s="63"/>
      <c r="I545" s="1"/>
      <c r="J545" s="1"/>
      <c r="K545" s="1"/>
    </row>
    <row r="546" spans="1:11" s="144" customFormat="1" ht="13.5">
      <c r="A546" s="1"/>
      <c r="B546" s="68"/>
      <c r="C546" s="1"/>
      <c r="D546" s="1"/>
      <c r="E546" s="3"/>
      <c r="G546" s="63"/>
      <c r="H546" s="63"/>
      <c r="I546" s="1"/>
      <c r="J546" s="1"/>
      <c r="K546" s="1"/>
    </row>
    <row r="547" spans="1:11" s="144" customFormat="1" ht="13.5">
      <c r="A547" s="1"/>
      <c r="B547" s="68"/>
      <c r="C547" s="1"/>
      <c r="D547" s="1"/>
      <c r="E547" s="3"/>
      <c r="G547" s="63"/>
      <c r="H547" s="63"/>
      <c r="I547" s="1"/>
      <c r="J547" s="1"/>
      <c r="K547" s="1"/>
    </row>
    <row r="548" spans="1:11" s="144" customFormat="1" ht="13.5">
      <c r="A548" s="1"/>
      <c r="B548" s="68"/>
      <c r="C548" s="1"/>
      <c r="D548" s="1"/>
      <c r="E548" s="3"/>
      <c r="G548" s="63"/>
      <c r="H548" s="63"/>
      <c r="I548" s="1"/>
      <c r="J548" s="1"/>
      <c r="K548" s="1"/>
    </row>
    <row r="549" spans="1:11" s="144" customFormat="1" ht="13.5">
      <c r="A549" s="1"/>
      <c r="B549" s="68"/>
      <c r="C549" s="1"/>
      <c r="D549" s="1"/>
      <c r="E549" s="3"/>
      <c r="G549" s="63"/>
      <c r="H549" s="63"/>
      <c r="I549" s="1"/>
      <c r="J549" s="1"/>
      <c r="K549" s="1"/>
    </row>
    <row r="550" spans="1:11" s="144" customFormat="1" ht="13.5">
      <c r="A550" s="1"/>
      <c r="B550" s="68"/>
      <c r="C550" s="1"/>
      <c r="D550" s="1"/>
      <c r="E550" s="3"/>
      <c r="G550" s="63"/>
      <c r="H550" s="63"/>
      <c r="I550" s="1"/>
      <c r="J550" s="1"/>
      <c r="K550" s="1"/>
    </row>
    <row r="551" spans="1:11" s="144" customFormat="1" ht="13.5">
      <c r="A551" s="1"/>
      <c r="B551" s="68"/>
      <c r="C551" s="1"/>
      <c r="D551" s="1"/>
      <c r="E551" s="3"/>
      <c r="G551" s="63"/>
      <c r="H551" s="63"/>
      <c r="I551" s="1"/>
      <c r="J551" s="1"/>
      <c r="K551" s="1"/>
    </row>
    <row r="552" spans="1:11" s="144" customFormat="1" ht="13.5">
      <c r="A552" s="1"/>
      <c r="B552" s="68"/>
      <c r="C552" s="1"/>
      <c r="D552" s="1"/>
      <c r="E552" s="3"/>
      <c r="G552" s="63"/>
      <c r="H552" s="63"/>
      <c r="I552" s="1"/>
      <c r="J552" s="1"/>
      <c r="K552" s="1"/>
    </row>
    <row r="553" spans="1:11" s="144" customFormat="1" ht="13.5">
      <c r="A553" s="1"/>
      <c r="B553" s="68"/>
      <c r="C553" s="1"/>
      <c r="D553" s="1"/>
      <c r="E553" s="3"/>
      <c r="G553" s="63"/>
      <c r="H553" s="63"/>
      <c r="I553" s="1"/>
      <c r="J553" s="1"/>
      <c r="K553" s="1"/>
    </row>
    <row r="554" spans="1:11" s="144" customFormat="1" ht="13.5">
      <c r="A554" s="1"/>
      <c r="B554" s="68"/>
      <c r="C554" s="1"/>
      <c r="D554" s="1"/>
      <c r="E554" s="3"/>
      <c r="G554" s="63"/>
      <c r="H554" s="63"/>
      <c r="I554" s="1"/>
      <c r="J554" s="1"/>
      <c r="K554" s="1"/>
    </row>
    <row r="555" spans="1:11" s="144" customFormat="1" ht="13.5">
      <c r="A555" s="1"/>
      <c r="B555" s="68"/>
      <c r="C555" s="1"/>
      <c r="D555" s="1"/>
      <c r="E555" s="3"/>
      <c r="G555" s="63"/>
      <c r="H555" s="63"/>
      <c r="I555" s="1"/>
      <c r="J555" s="1"/>
      <c r="K555" s="1"/>
    </row>
    <row r="556" spans="1:11" s="144" customFormat="1" ht="13.5">
      <c r="A556" s="1"/>
      <c r="B556" s="68"/>
      <c r="C556" s="1"/>
      <c r="D556" s="1"/>
      <c r="E556" s="3"/>
      <c r="G556" s="63"/>
      <c r="H556" s="63"/>
      <c r="I556" s="1"/>
      <c r="J556" s="1"/>
      <c r="K556" s="1"/>
    </row>
    <row r="557" spans="1:11" s="144" customFormat="1" ht="13.5">
      <c r="A557" s="1"/>
      <c r="B557" s="68"/>
      <c r="C557" s="1"/>
      <c r="D557" s="1"/>
      <c r="E557" s="3"/>
      <c r="G557" s="63"/>
      <c r="H557" s="63"/>
      <c r="I557" s="1"/>
      <c r="J557" s="1"/>
      <c r="K557" s="1"/>
    </row>
    <row r="558" spans="1:11" s="144" customFormat="1" ht="13.5">
      <c r="A558" s="1"/>
      <c r="B558" s="68"/>
      <c r="C558" s="1"/>
      <c r="D558" s="1"/>
      <c r="E558" s="3"/>
      <c r="G558" s="63"/>
      <c r="H558" s="63"/>
      <c r="I558" s="1"/>
      <c r="J558" s="1"/>
      <c r="K558" s="1"/>
    </row>
    <row r="559" spans="1:11" s="144" customFormat="1" ht="13.5">
      <c r="A559" s="1"/>
      <c r="B559" s="68"/>
      <c r="C559" s="1"/>
      <c r="D559" s="1"/>
      <c r="E559" s="3"/>
      <c r="G559" s="63"/>
      <c r="H559" s="63"/>
      <c r="I559" s="1"/>
      <c r="J559" s="1"/>
      <c r="K559" s="1"/>
    </row>
    <row r="560" spans="1:11" s="144" customFormat="1" ht="13.5">
      <c r="A560" s="1"/>
      <c r="B560" s="68"/>
      <c r="C560" s="1"/>
      <c r="D560" s="1"/>
      <c r="E560" s="3"/>
      <c r="G560" s="63"/>
      <c r="H560" s="63"/>
      <c r="I560" s="1"/>
      <c r="J560" s="1"/>
      <c r="K560" s="1"/>
    </row>
    <row r="561" spans="1:11" s="144" customFormat="1" ht="13.5">
      <c r="A561" s="1"/>
      <c r="B561" s="68"/>
      <c r="C561" s="1"/>
      <c r="D561" s="1"/>
      <c r="E561" s="3"/>
      <c r="G561" s="63"/>
      <c r="H561" s="63"/>
      <c r="I561" s="1"/>
      <c r="J561" s="1"/>
      <c r="K561" s="1"/>
    </row>
    <row r="562" spans="1:11" s="144" customFormat="1" ht="13.5">
      <c r="A562" s="1"/>
      <c r="B562" s="68"/>
      <c r="C562" s="1"/>
      <c r="D562" s="1"/>
      <c r="E562" s="3"/>
      <c r="G562" s="63"/>
      <c r="H562" s="63"/>
      <c r="I562" s="1"/>
      <c r="J562" s="1"/>
      <c r="K562" s="1"/>
    </row>
    <row r="563" spans="1:11" s="144" customFormat="1" ht="13.5">
      <c r="A563" s="1"/>
      <c r="B563" s="68"/>
      <c r="C563" s="1"/>
      <c r="D563" s="1"/>
      <c r="E563" s="3"/>
      <c r="G563" s="63"/>
      <c r="H563" s="63"/>
      <c r="I563" s="1"/>
      <c r="J563" s="1"/>
      <c r="K563" s="1"/>
    </row>
    <row r="564" spans="1:11" s="144" customFormat="1" ht="13.5">
      <c r="A564" s="1"/>
      <c r="B564" s="68"/>
      <c r="C564" s="1"/>
      <c r="D564" s="1"/>
      <c r="E564" s="3"/>
      <c r="G564" s="63"/>
      <c r="H564" s="63"/>
      <c r="I564" s="1"/>
      <c r="J564" s="1"/>
      <c r="K564" s="1"/>
    </row>
    <row r="565" spans="1:11" s="144" customFormat="1" ht="13.5">
      <c r="A565" s="1"/>
      <c r="B565" s="68"/>
      <c r="C565" s="1"/>
      <c r="D565" s="1"/>
      <c r="E565" s="3"/>
      <c r="G565" s="63"/>
      <c r="H565" s="63"/>
      <c r="I565" s="1"/>
      <c r="J565" s="1"/>
      <c r="K565" s="1"/>
    </row>
    <row r="566" spans="1:11" s="144" customFormat="1" ht="13.5">
      <c r="A566" s="1"/>
      <c r="B566" s="68"/>
      <c r="C566" s="1"/>
      <c r="D566" s="1"/>
      <c r="E566" s="3"/>
      <c r="G566" s="63"/>
      <c r="H566" s="63"/>
      <c r="I566" s="1"/>
      <c r="J566" s="1"/>
      <c r="K566" s="1"/>
    </row>
    <row r="567" spans="1:11" s="144" customFormat="1" ht="13.5">
      <c r="A567" s="1"/>
      <c r="B567" s="68"/>
      <c r="C567" s="1"/>
      <c r="D567" s="1"/>
      <c r="E567" s="3"/>
      <c r="G567" s="63"/>
      <c r="H567" s="63"/>
      <c r="I567" s="1"/>
      <c r="J567" s="1"/>
      <c r="K567" s="1"/>
    </row>
    <row r="568" spans="1:11" s="144" customFormat="1" ht="13.5">
      <c r="A568" s="1"/>
      <c r="B568" s="68"/>
      <c r="C568" s="1"/>
      <c r="D568" s="1"/>
      <c r="E568" s="3"/>
      <c r="G568" s="63"/>
      <c r="H568" s="63"/>
      <c r="I568" s="1"/>
      <c r="J568" s="1"/>
      <c r="K568" s="1"/>
    </row>
    <row r="569" spans="1:11" s="144" customFormat="1" ht="13.5">
      <c r="A569" s="1"/>
      <c r="B569" s="68"/>
      <c r="C569" s="1"/>
      <c r="D569" s="1"/>
      <c r="E569" s="3"/>
      <c r="G569" s="63"/>
      <c r="H569" s="63"/>
      <c r="I569" s="1"/>
      <c r="J569" s="1"/>
      <c r="K569" s="1"/>
    </row>
    <row r="570" spans="1:11" s="144" customFormat="1" ht="13.5">
      <c r="A570" s="1"/>
      <c r="B570" s="68"/>
      <c r="C570" s="1"/>
      <c r="D570" s="1"/>
      <c r="E570" s="3"/>
      <c r="G570" s="63"/>
      <c r="H570" s="63"/>
      <c r="I570" s="1"/>
      <c r="J570" s="1"/>
      <c r="K570" s="1"/>
    </row>
    <row r="571" spans="1:11" s="144" customFormat="1" ht="13.5">
      <c r="A571" s="1"/>
      <c r="B571" s="68"/>
      <c r="C571" s="1"/>
      <c r="D571" s="1"/>
      <c r="E571" s="3"/>
      <c r="G571" s="63"/>
      <c r="H571" s="63"/>
      <c r="I571" s="1"/>
      <c r="J571" s="1"/>
      <c r="K571" s="1"/>
    </row>
    <row r="572" spans="1:11" s="144" customFormat="1" ht="13.5">
      <c r="A572" s="1"/>
      <c r="B572" s="68"/>
      <c r="C572" s="1"/>
      <c r="D572" s="1"/>
      <c r="E572" s="3"/>
      <c r="G572" s="63"/>
      <c r="H572" s="63"/>
      <c r="I572" s="1"/>
      <c r="J572" s="1"/>
      <c r="K572" s="1"/>
    </row>
    <row r="573" spans="1:11" s="144" customFormat="1" ht="13.5">
      <c r="A573" s="1"/>
      <c r="B573" s="68"/>
      <c r="C573" s="1"/>
      <c r="D573" s="1"/>
      <c r="E573" s="3"/>
      <c r="G573" s="63"/>
      <c r="H573" s="63"/>
      <c r="I573" s="1"/>
      <c r="J573" s="1"/>
      <c r="K573" s="1"/>
    </row>
    <row r="574" spans="1:11" s="144" customFormat="1" ht="13.5">
      <c r="A574" s="1"/>
      <c r="B574" s="68"/>
      <c r="C574" s="1"/>
      <c r="D574" s="1"/>
      <c r="E574" s="3"/>
      <c r="G574" s="63"/>
      <c r="H574" s="63"/>
      <c r="I574" s="1"/>
      <c r="J574" s="1"/>
      <c r="K574" s="1"/>
    </row>
    <row r="575" spans="1:11" s="144" customFormat="1" ht="13.5">
      <c r="A575" s="1"/>
      <c r="B575" s="68"/>
      <c r="C575" s="1"/>
      <c r="D575" s="1"/>
      <c r="E575" s="3"/>
      <c r="G575" s="63"/>
      <c r="H575" s="63"/>
      <c r="I575" s="1"/>
      <c r="J575" s="1"/>
      <c r="K575" s="1"/>
    </row>
    <row r="576" spans="1:11" s="144" customFormat="1" ht="13.5">
      <c r="A576" s="1"/>
      <c r="B576" s="68"/>
      <c r="C576" s="1"/>
      <c r="D576" s="1"/>
      <c r="E576" s="3"/>
      <c r="G576" s="63"/>
      <c r="H576" s="63"/>
      <c r="I576" s="1"/>
      <c r="J576" s="1"/>
      <c r="K576" s="1"/>
    </row>
    <row r="577" spans="1:11" s="144" customFormat="1" ht="13.5">
      <c r="A577" s="1"/>
      <c r="B577" s="68"/>
      <c r="C577" s="1"/>
      <c r="D577" s="1"/>
      <c r="E577" s="3"/>
      <c r="G577" s="63"/>
      <c r="H577" s="63"/>
      <c r="I577" s="1"/>
      <c r="J577" s="1"/>
      <c r="K577" s="1"/>
    </row>
    <row r="578" spans="1:11" s="144" customFormat="1" ht="13.5">
      <c r="A578" s="1"/>
      <c r="B578" s="68"/>
      <c r="C578" s="1"/>
      <c r="D578" s="1"/>
      <c r="E578" s="3"/>
      <c r="G578" s="63"/>
      <c r="H578" s="63"/>
      <c r="I578" s="1"/>
      <c r="J578" s="1"/>
      <c r="K578" s="1"/>
    </row>
    <row r="579" spans="1:11" s="144" customFormat="1" ht="13.5">
      <c r="A579" s="1"/>
      <c r="B579" s="68"/>
      <c r="C579" s="1"/>
      <c r="D579" s="1"/>
      <c r="E579" s="3"/>
      <c r="G579" s="63"/>
      <c r="H579" s="63"/>
      <c r="I579" s="1"/>
      <c r="J579" s="1"/>
      <c r="K579" s="1"/>
    </row>
    <row r="580" spans="1:11" s="144" customFormat="1" ht="13.5">
      <c r="A580" s="1"/>
      <c r="B580" s="68"/>
      <c r="C580" s="1"/>
      <c r="D580" s="1"/>
      <c r="E580" s="3"/>
      <c r="G580" s="63"/>
      <c r="H580" s="63"/>
      <c r="I580" s="1"/>
      <c r="J580" s="1"/>
      <c r="K580" s="1"/>
    </row>
    <row r="581" spans="1:11" s="144" customFormat="1" ht="13.5">
      <c r="A581" s="1"/>
      <c r="B581" s="68"/>
      <c r="C581" s="1"/>
      <c r="D581" s="1"/>
      <c r="E581" s="3"/>
      <c r="G581" s="63"/>
      <c r="H581" s="63"/>
      <c r="I581" s="1"/>
      <c r="J581" s="1"/>
      <c r="K581" s="1"/>
    </row>
    <row r="582" spans="1:11" s="144" customFormat="1" ht="13.5">
      <c r="A582" s="1"/>
      <c r="B582" s="68"/>
      <c r="C582" s="1"/>
      <c r="D582" s="1"/>
      <c r="E582" s="3"/>
      <c r="G582" s="63"/>
      <c r="H582" s="63"/>
      <c r="I582" s="1"/>
      <c r="J582" s="1"/>
      <c r="K582" s="1"/>
    </row>
    <row r="583" spans="1:11" s="144" customFormat="1" ht="13.5">
      <c r="A583" s="1"/>
      <c r="B583" s="68"/>
      <c r="C583" s="1"/>
      <c r="D583" s="1"/>
      <c r="E583" s="3"/>
      <c r="G583" s="63"/>
      <c r="H583" s="63"/>
      <c r="I583" s="1"/>
      <c r="J583" s="1"/>
      <c r="K583" s="1"/>
    </row>
    <row r="584" spans="1:11" s="144" customFormat="1" ht="13.5">
      <c r="A584" s="1"/>
      <c r="B584" s="68"/>
      <c r="C584" s="1"/>
      <c r="D584" s="1"/>
      <c r="E584" s="3"/>
      <c r="G584" s="63"/>
      <c r="H584" s="63"/>
      <c r="I584" s="1"/>
      <c r="J584" s="1"/>
      <c r="K584" s="1"/>
    </row>
    <row r="585" spans="1:11" s="144" customFormat="1" ht="13.5">
      <c r="A585" s="1"/>
      <c r="B585" s="68"/>
      <c r="C585" s="1"/>
      <c r="D585" s="1"/>
      <c r="E585" s="3"/>
      <c r="G585" s="63"/>
      <c r="H585" s="63"/>
      <c r="I585" s="1"/>
      <c r="J585" s="1"/>
      <c r="K585" s="1"/>
    </row>
    <row r="586" spans="1:11" s="144" customFormat="1" ht="13.5">
      <c r="A586" s="1"/>
      <c r="B586" s="68"/>
      <c r="C586" s="1"/>
      <c r="D586" s="1"/>
      <c r="E586" s="3"/>
      <c r="G586" s="63"/>
      <c r="H586" s="63"/>
      <c r="I586" s="1"/>
      <c r="J586" s="1"/>
      <c r="K586" s="1"/>
    </row>
    <row r="587" spans="1:11" s="144" customFormat="1" ht="13.5">
      <c r="A587" s="1"/>
      <c r="B587" s="68"/>
      <c r="C587" s="1"/>
      <c r="D587" s="1"/>
      <c r="E587" s="3"/>
      <c r="G587" s="63"/>
      <c r="H587" s="63"/>
      <c r="I587" s="1"/>
      <c r="J587" s="1"/>
      <c r="K587" s="1"/>
    </row>
    <row r="588" spans="1:11" s="144" customFormat="1" ht="13.5">
      <c r="A588" s="1"/>
      <c r="B588" s="68"/>
      <c r="C588" s="1"/>
      <c r="D588" s="1"/>
      <c r="E588" s="3"/>
      <c r="G588" s="63"/>
      <c r="H588" s="63"/>
      <c r="I588" s="1"/>
      <c r="J588" s="1"/>
      <c r="K588" s="1"/>
    </row>
    <row r="589" spans="1:11" s="144" customFormat="1" ht="13.5">
      <c r="A589" s="1"/>
      <c r="B589" s="68"/>
      <c r="C589" s="1"/>
      <c r="D589" s="1"/>
      <c r="E589" s="3"/>
      <c r="G589" s="63"/>
      <c r="H589" s="63"/>
      <c r="I589" s="1"/>
      <c r="J589" s="1"/>
      <c r="K589" s="1"/>
    </row>
    <row r="590" spans="1:11" s="144" customFormat="1" ht="13.5">
      <c r="A590" s="1"/>
      <c r="B590" s="68"/>
      <c r="C590" s="1"/>
      <c r="D590" s="1"/>
      <c r="E590" s="3"/>
      <c r="G590" s="63"/>
      <c r="H590" s="63"/>
      <c r="I590" s="1"/>
      <c r="J590" s="1"/>
      <c r="K590" s="1"/>
    </row>
    <row r="591" spans="1:11" s="144" customFormat="1" ht="13.5">
      <c r="A591" s="1"/>
      <c r="B591" s="68"/>
      <c r="C591" s="1"/>
      <c r="D591" s="1"/>
      <c r="E591" s="3"/>
      <c r="G591" s="63"/>
      <c r="H591" s="63"/>
      <c r="I591" s="1"/>
      <c r="J591" s="1"/>
      <c r="K591" s="1"/>
    </row>
    <row r="592" spans="1:11" s="144" customFormat="1" ht="13.5">
      <c r="A592" s="1"/>
      <c r="B592" s="68"/>
      <c r="C592" s="1"/>
      <c r="D592" s="1"/>
      <c r="E592" s="3"/>
      <c r="G592" s="63"/>
      <c r="H592" s="63"/>
      <c r="I592" s="1"/>
      <c r="J592" s="1"/>
      <c r="K592" s="1"/>
    </row>
    <row r="593" spans="1:11" s="144" customFormat="1" ht="13.5">
      <c r="A593" s="1"/>
      <c r="B593" s="68"/>
      <c r="C593" s="1"/>
      <c r="D593" s="1"/>
      <c r="E593" s="3"/>
      <c r="G593" s="63"/>
      <c r="H593" s="63"/>
      <c r="I593" s="1"/>
      <c r="J593" s="1"/>
      <c r="K593" s="1"/>
    </row>
    <row r="594" spans="1:11" s="144" customFormat="1" ht="13.5">
      <c r="A594" s="1"/>
      <c r="B594" s="68"/>
      <c r="C594" s="1"/>
      <c r="D594" s="1"/>
      <c r="E594" s="3"/>
      <c r="G594" s="63"/>
      <c r="H594" s="63"/>
      <c r="I594" s="1"/>
      <c r="J594" s="1"/>
      <c r="K594" s="1"/>
    </row>
    <row r="595" spans="1:11" s="144" customFormat="1" ht="13.5">
      <c r="A595" s="1"/>
      <c r="B595" s="68"/>
      <c r="C595" s="1"/>
      <c r="D595" s="1"/>
      <c r="E595" s="3"/>
      <c r="G595" s="63"/>
      <c r="H595" s="63"/>
      <c r="I595" s="1"/>
      <c r="J595" s="1"/>
      <c r="K595" s="1"/>
    </row>
    <row r="596" spans="1:11" s="144" customFormat="1" ht="13.5">
      <c r="A596" s="1"/>
      <c r="B596" s="68"/>
      <c r="C596" s="1"/>
      <c r="D596" s="1"/>
      <c r="E596" s="3"/>
      <c r="G596" s="63"/>
      <c r="H596" s="63"/>
      <c r="I596" s="1"/>
      <c r="J596" s="1"/>
      <c r="K596" s="1"/>
    </row>
    <row r="597" spans="1:11" s="144" customFormat="1" ht="13.5">
      <c r="A597" s="1"/>
      <c r="B597" s="68"/>
      <c r="C597" s="1"/>
      <c r="D597" s="1"/>
      <c r="E597" s="3"/>
      <c r="G597" s="63"/>
      <c r="H597" s="63"/>
      <c r="I597" s="1"/>
      <c r="J597" s="1"/>
      <c r="K597" s="1"/>
    </row>
    <row r="598" spans="1:11" s="144" customFormat="1" ht="13.5">
      <c r="A598" s="1"/>
      <c r="B598" s="68"/>
      <c r="C598" s="1"/>
      <c r="D598" s="1"/>
      <c r="E598" s="3"/>
      <c r="G598" s="63"/>
      <c r="H598" s="63"/>
      <c r="I598" s="1"/>
      <c r="J598" s="1"/>
      <c r="K598" s="1"/>
    </row>
    <row r="599" spans="1:11" s="144" customFormat="1" ht="13.5">
      <c r="A599" s="1"/>
      <c r="B599" s="68"/>
      <c r="C599" s="1"/>
      <c r="D599" s="1"/>
      <c r="E599" s="3"/>
      <c r="G599" s="63"/>
      <c r="H599" s="63"/>
      <c r="I599" s="1"/>
      <c r="J599" s="1"/>
      <c r="K599" s="1"/>
    </row>
    <row r="600" spans="1:11" s="144" customFormat="1" ht="13.5">
      <c r="A600" s="1"/>
      <c r="B600" s="68"/>
      <c r="C600" s="1"/>
      <c r="D600" s="1"/>
      <c r="E600" s="3"/>
      <c r="G600" s="63"/>
      <c r="H600" s="63"/>
      <c r="I600" s="1"/>
      <c r="J600" s="1"/>
      <c r="K600" s="1"/>
    </row>
    <row r="601" spans="1:11" s="144" customFormat="1" ht="13.5">
      <c r="A601" s="1"/>
      <c r="B601" s="68"/>
      <c r="C601" s="1"/>
      <c r="D601" s="1"/>
      <c r="E601" s="3"/>
      <c r="G601" s="63"/>
      <c r="H601" s="63"/>
      <c r="I601" s="1"/>
      <c r="J601" s="1"/>
      <c r="K601" s="1"/>
    </row>
    <row r="602" spans="1:11" s="144" customFormat="1" ht="13.5">
      <c r="A602" s="1"/>
      <c r="B602" s="68"/>
      <c r="C602" s="1"/>
      <c r="D602" s="1"/>
      <c r="E602" s="3"/>
      <c r="G602" s="63"/>
      <c r="H602" s="63"/>
      <c r="I602" s="1"/>
      <c r="J602" s="1"/>
      <c r="K602" s="1"/>
    </row>
    <row r="603" spans="1:11" s="144" customFormat="1" ht="13.5">
      <c r="A603" s="1"/>
      <c r="B603" s="68"/>
      <c r="C603" s="1"/>
      <c r="D603" s="1"/>
      <c r="E603" s="3"/>
      <c r="G603" s="63"/>
      <c r="H603" s="63"/>
      <c r="I603" s="1"/>
      <c r="J603" s="1"/>
      <c r="K603" s="1"/>
    </row>
    <row r="604" spans="1:11" s="144" customFormat="1" ht="13.5">
      <c r="A604" s="1"/>
      <c r="B604" s="68"/>
      <c r="C604" s="1"/>
      <c r="D604" s="1"/>
      <c r="E604" s="3"/>
      <c r="G604" s="63"/>
      <c r="H604" s="63"/>
      <c r="I604" s="1"/>
      <c r="J604" s="1"/>
      <c r="K604" s="1"/>
    </row>
    <row r="605" spans="1:11" s="144" customFormat="1" ht="13.5">
      <c r="A605" s="1"/>
      <c r="B605" s="68"/>
      <c r="C605" s="1"/>
      <c r="D605" s="1"/>
      <c r="E605" s="3"/>
      <c r="G605" s="63"/>
      <c r="H605" s="63"/>
      <c r="I605" s="1"/>
      <c r="J605" s="1"/>
      <c r="K605" s="1"/>
    </row>
    <row r="606" spans="1:11" s="144" customFormat="1" ht="13.5">
      <c r="A606" s="1"/>
      <c r="B606" s="68"/>
      <c r="C606" s="1"/>
      <c r="D606" s="1"/>
      <c r="E606" s="3"/>
      <c r="G606" s="63"/>
      <c r="H606" s="63"/>
      <c r="I606" s="1"/>
      <c r="J606" s="1"/>
      <c r="K606" s="1"/>
    </row>
    <row r="607" spans="1:11" s="144" customFormat="1" ht="13.5">
      <c r="A607" s="1"/>
      <c r="B607" s="68"/>
      <c r="C607" s="1"/>
      <c r="D607" s="1"/>
      <c r="E607" s="3"/>
      <c r="G607" s="63"/>
      <c r="H607" s="63"/>
      <c r="I607" s="1"/>
      <c r="J607" s="1"/>
      <c r="K607" s="1"/>
    </row>
    <row r="608" spans="1:11" s="144" customFormat="1" ht="13.5">
      <c r="A608" s="1"/>
      <c r="B608" s="68"/>
      <c r="C608" s="1"/>
      <c r="D608" s="1"/>
      <c r="E608" s="3"/>
      <c r="G608" s="63"/>
      <c r="H608" s="63"/>
      <c r="I608" s="1"/>
      <c r="J608" s="1"/>
      <c r="K608" s="1"/>
    </row>
    <row r="609" spans="1:11" s="144" customFormat="1" ht="13.5">
      <c r="A609" s="1"/>
      <c r="B609" s="68"/>
      <c r="C609" s="1"/>
      <c r="D609" s="1"/>
      <c r="E609" s="3"/>
      <c r="G609" s="63"/>
      <c r="H609" s="63"/>
      <c r="I609" s="1"/>
      <c r="J609" s="1"/>
      <c r="K609" s="1"/>
    </row>
    <row r="610" spans="1:11" s="144" customFormat="1" ht="13.5">
      <c r="A610" s="1"/>
      <c r="B610" s="68"/>
      <c r="C610" s="1"/>
      <c r="D610" s="1"/>
      <c r="E610" s="3"/>
      <c r="G610" s="63"/>
      <c r="H610" s="63"/>
      <c r="I610" s="1"/>
      <c r="J610" s="1"/>
      <c r="K610" s="1"/>
    </row>
    <row r="611" spans="1:11" s="144" customFormat="1" ht="13.5">
      <c r="A611" s="1"/>
      <c r="B611" s="68"/>
      <c r="C611" s="1"/>
      <c r="D611" s="1"/>
      <c r="E611" s="3"/>
      <c r="G611" s="63"/>
      <c r="H611" s="63"/>
      <c r="I611" s="1"/>
      <c r="J611" s="1"/>
      <c r="K611" s="1"/>
    </row>
    <row r="612" spans="1:11" s="144" customFormat="1" ht="13.5">
      <c r="A612" s="1"/>
      <c r="B612" s="68"/>
      <c r="C612" s="1"/>
      <c r="D612" s="1"/>
      <c r="E612" s="3"/>
      <c r="G612" s="63"/>
      <c r="H612" s="63"/>
      <c r="I612" s="1"/>
      <c r="J612" s="1"/>
      <c r="K612" s="1"/>
    </row>
    <row r="613" spans="1:11" s="144" customFormat="1" ht="13.5">
      <c r="A613" s="1"/>
      <c r="B613" s="68"/>
      <c r="C613" s="1"/>
      <c r="D613" s="1"/>
      <c r="E613" s="3"/>
      <c r="G613" s="63"/>
      <c r="H613" s="63"/>
      <c r="I613" s="1"/>
      <c r="J613" s="1"/>
      <c r="K613" s="1"/>
    </row>
    <row r="614" spans="1:11" s="144" customFormat="1" ht="13.5">
      <c r="A614" s="1"/>
      <c r="B614" s="68"/>
      <c r="C614" s="1"/>
      <c r="D614" s="1"/>
      <c r="E614" s="3"/>
      <c r="G614" s="63"/>
      <c r="H614" s="63"/>
      <c r="I614" s="1"/>
      <c r="J614" s="1"/>
      <c r="K614" s="1"/>
    </row>
    <row r="615" spans="1:11" s="144" customFormat="1" ht="13.5">
      <c r="A615" s="1"/>
      <c r="B615" s="68"/>
      <c r="C615" s="1"/>
      <c r="D615" s="1"/>
      <c r="E615" s="3"/>
      <c r="G615" s="63"/>
      <c r="H615" s="63"/>
      <c r="I615" s="1"/>
      <c r="J615" s="1"/>
      <c r="K615" s="1"/>
    </row>
    <row r="616" spans="1:11" s="144" customFormat="1" ht="13.5">
      <c r="A616" s="1"/>
      <c r="B616" s="68"/>
      <c r="C616" s="1"/>
      <c r="D616" s="1"/>
      <c r="E616" s="3"/>
      <c r="G616" s="63"/>
      <c r="H616" s="63"/>
      <c r="I616" s="1"/>
      <c r="J616" s="1"/>
      <c r="K616" s="1"/>
    </row>
    <row r="617" spans="1:11" s="144" customFormat="1" ht="13.5">
      <c r="A617" s="1"/>
      <c r="B617" s="68"/>
      <c r="C617" s="1"/>
      <c r="D617" s="1"/>
      <c r="E617" s="3"/>
      <c r="G617" s="63"/>
      <c r="H617" s="63"/>
      <c r="I617" s="1"/>
      <c r="J617" s="1"/>
      <c r="K617" s="1"/>
    </row>
    <row r="618" spans="1:11" s="144" customFormat="1" ht="13.5">
      <c r="A618" s="1"/>
      <c r="B618" s="68"/>
      <c r="C618" s="1"/>
      <c r="D618" s="1"/>
      <c r="E618" s="3"/>
      <c r="G618" s="63"/>
      <c r="H618" s="63"/>
      <c r="I618" s="1"/>
      <c r="J618" s="1"/>
      <c r="K618" s="1"/>
    </row>
    <row r="619" spans="1:11" s="144" customFormat="1" ht="13.5">
      <c r="A619" s="1"/>
      <c r="B619" s="68"/>
      <c r="C619" s="1"/>
      <c r="D619" s="1"/>
      <c r="E619" s="3"/>
      <c r="G619" s="63"/>
      <c r="H619" s="63"/>
      <c r="I619" s="1"/>
      <c r="J619" s="1"/>
      <c r="K619" s="1"/>
    </row>
    <row r="620" spans="1:11" s="144" customFormat="1" ht="13.5">
      <c r="A620" s="1"/>
      <c r="B620" s="68"/>
      <c r="C620" s="1"/>
      <c r="D620" s="1"/>
      <c r="E620" s="3"/>
      <c r="G620" s="63"/>
      <c r="H620" s="63"/>
      <c r="I620" s="1"/>
      <c r="J620" s="1"/>
      <c r="K620" s="1"/>
    </row>
    <row r="621" spans="1:11" s="144" customFormat="1" ht="13.5">
      <c r="A621" s="1"/>
      <c r="B621" s="68"/>
      <c r="C621" s="1"/>
      <c r="D621" s="1"/>
      <c r="E621" s="3"/>
      <c r="G621" s="63"/>
      <c r="H621" s="63"/>
      <c r="I621" s="1"/>
      <c r="J621" s="1"/>
      <c r="K621" s="1"/>
    </row>
    <row r="622" spans="1:11" s="144" customFormat="1" ht="13.5">
      <c r="A622" s="1"/>
      <c r="B622" s="68"/>
      <c r="C622" s="1"/>
      <c r="D622" s="1"/>
      <c r="E622" s="3"/>
      <c r="G622" s="63"/>
      <c r="H622" s="63"/>
      <c r="I622" s="1"/>
      <c r="J622" s="1"/>
      <c r="K622" s="1"/>
    </row>
    <row r="623" spans="1:11" s="144" customFormat="1" ht="13.5">
      <c r="A623" s="1"/>
      <c r="B623" s="68"/>
      <c r="C623" s="1"/>
      <c r="D623" s="1"/>
      <c r="E623" s="3"/>
      <c r="G623" s="63"/>
      <c r="H623" s="63"/>
      <c r="I623" s="1"/>
      <c r="J623" s="1"/>
      <c r="K623" s="1"/>
    </row>
    <row r="624" spans="1:11" s="144" customFormat="1" ht="13.5">
      <c r="A624" s="1"/>
      <c r="B624" s="68"/>
      <c r="C624" s="1"/>
      <c r="D624" s="1"/>
      <c r="E624" s="3"/>
      <c r="G624" s="63"/>
      <c r="H624" s="63"/>
      <c r="I624" s="1"/>
      <c r="J624" s="1"/>
      <c r="K624" s="1"/>
    </row>
    <row r="625" spans="1:11" s="144" customFormat="1" ht="13.5">
      <c r="A625" s="1"/>
      <c r="B625" s="68"/>
      <c r="C625" s="1"/>
      <c r="D625" s="1"/>
      <c r="E625" s="3"/>
      <c r="G625" s="63"/>
      <c r="H625" s="63"/>
      <c r="I625" s="1"/>
      <c r="J625" s="1"/>
      <c r="K625" s="1"/>
    </row>
    <row r="626" spans="1:11" s="144" customFormat="1" ht="13.5">
      <c r="A626" s="1"/>
      <c r="B626" s="68"/>
      <c r="C626" s="1"/>
      <c r="D626" s="1"/>
      <c r="E626" s="3"/>
      <c r="G626" s="63"/>
      <c r="H626" s="63"/>
      <c r="I626" s="1"/>
      <c r="J626" s="1"/>
      <c r="K626" s="1"/>
    </row>
    <row r="627" spans="1:11" s="144" customFormat="1" ht="13.5">
      <c r="A627" s="1"/>
      <c r="B627" s="68"/>
      <c r="C627" s="1"/>
      <c r="D627" s="1"/>
      <c r="E627" s="3"/>
      <c r="G627" s="63"/>
      <c r="H627" s="63"/>
      <c r="I627" s="1"/>
      <c r="J627" s="1"/>
      <c r="K627" s="1"/>
    </row>
    <row r="628" spans="1:11" s="144" customFormat="1" ht="13.5">
      <c r="A628" s="1"/>
      <c r="B628" s="68"/>
      <c r="C628" s="1"/>
      <c r="D628" s="1"/>
      <c r="E628" s="3"/>
      <c r="G628" s="63"/>
      <c r="H628" s="63"/>
      <c r="I628" s="1"/>
      <c r="J628" s="1"/>
      <c r="K628" s="1"/>
    </row>
    <row r="629" spans="1:11" s="144" customFormat="1" ht="13.5">
      <c r="A629" s="1"/>
      <c r="B629" s="68"/>
      <c r="C629" s="1"/>
      <c r="D629" s="1"/>
      <c r="E629" s="3"/>
      <c r="G629" s="63"/>
      <c r="H629" s="63"/>
      <c r="I629" s="1"/>
      <c r="J629" s="1"/>
      <c r="K629" s="1"/>
    </row>
    <row r="630" spans="1:11" s="144" customFormat="1" ht="13.5">
      <c r="A630" s="1"/>
      <c r="B630" s="68"/>
      <c r="C630" s="1"/>
      <c r="D630" s="1"/>
      <c r="E630" s="3"/>
      <c r="G630" s="63"/>
      <c r="H630" s="63"/>
      <c r="I630" s="1"/>
      <c r="J630" s="1"/>
      <c r="K630" s="1"/>
    </row>
    <row r="631" spans="1:11" s="144" customFormat="1" ht="13.5">
      <c r="A631" s="1"/>
      <c r="B631" s="68"/>
      <c r="C631" s="1"/>
      <c r="D631" s="1"/>
      <c r="E631" s="3"/>
      <c r="G631" s="63"/>
      <c r="H631" s="63"/>
      <c r="I631" s="1"/>
      <c r="J631" s="1"/>
      <c r="K631" s="1"/>
    </row>
    <row r="632" spans="1:11" s="144" customFormat="1" ht="13.5">
      <c r="A632" s="1"/>
      <c r="B632" s="68"/>
      <c r="C632" s="1"/>
      <c r="D632" s="1"/>
      <c r="E632" s="3"/>
      <c r="G632" s="63"/>
      <c r="H632" s="63"/>
      <c r="I632" s="1"/>
      <c r="J632" s="1"/>
      <c r="K632" s="1"/>
    </row>
    <row r="633" spans="1:11" s="144" customFormat="1" ht="13.5">
      <c r="A633" s="1"/>
      <c r="B633" s="68"/>
      <c r="C633" s="1"/>
      <c r="D633" s="1"/>
      <c r="E633" s="3"/>
      <c r="G633" s="63"/>
      <c r="H633" s="63"/>
      <c r="I633" s="1"/>
      <c r="J633" s="1"/>
      <c r="K633" s="1"/>
    </row>
    <row r="634" spans="1:11" s="144" customFormat="1" ht="13.5">
      <c r="A634" s="1"/>
      <c r="B634" s="68"/>
      <c r="C634" s="1"/>
      <c r="D634" s="1"/>
      <c r="E634" s="3"/>
      <c r="G634" s="63"/>
      <c r="H634" s="63"/>
      <c r="I634" s="1"/>
      <c r="J634" s="1"/>
      <c r="K634" s="1"/>
    </row>
    <row r="635" spans="1:11" s="144" customFormat="1" ht="13.5">
      <c r="A635" s="1"/>
      <c r="B635" s="68"/>
      <c r="C635" s="1"/>
      <c r="D635" s="1"/>
      <c r="E635" s="3"/>
      <c r="G635" s="63"/>
      <c r="H635" s="63"/>
      <c r="I635" s="1"/>
      <c r="J635" s="1"/>
      <c r="K635" s="1"/>
    </row>
    <row r="636" spans="1:11" s="144" customFormat="1" ht="13.5">
      <c r="A636" s="1"/>
      <c r="B636" s="68"/>
      <c r="C636" s="1"/>
      <c r="D636" s="1"/>
      <c r="E636" s="3"/>
      <c r="G636" s="63"/>
      <c r="H636" s="63"/>
      <c r="I636" s="1"/>
      <c r="J636" s="1"/>
      <c r="K636" s="1"/>
    </row>
    <row r="637" spans="1:11" s="144" customFormat="1" ht="13.5">
      <c r="A637" s="1"/>
      <c r="B637" s="68"/>
      <c r="C637" s="1"/>
      <c r="D637" s="1"/>
      <c r="E637" s="3"/>
      <c r="G637" s="63"/>
      <c r="H637" s="63"/>
      <c r="I637" s="1"/>
      <c r="J637" s="1"/>
      <c r="K637" s="1"/>
    </row>
    <row r="638" spans="1:11" s="144" customFormat="1" ht="13.5">
      <c r="A638" s="1"/>
      <c r="B638" s="68"/>
      <c r="C638" s="1"/>
      <c r="D638" s="1"/>
      <c r="E638" s="3"/>
      <c r="G638" s="63"/>
      <c r="H638" s="63"/>
      <c r="I638" s="1"/>
      <c r="J638" s="1"/>
      <c r="K638" s="1"/>
    </row>
    <row r="639" spans="1:11" s="144" customFormat="1" ht="13.5">
      <c r="A639" s="1"/>
      <c r="B639" s="68"/>
      <c r="C639" s="1"/>
      <c r="D639" s="1"/>
      <c r="E639" s="3"/>
      <c r="G639" s="63"/>
      <c r="H639" s="63"/>
      <c r="I639" s="1"/>
      <c r="J639" s="1"/>
      <c r="K639" s="1"/>
    </row>
    <row r="640" spans="1:11" s="144" customFormat="1" ht="13.5">
      <c r="A640" s="1"/>
      <c r="B640" s="68"/>
      <c r="C640" s="1"/>
      <c r="D640" s="1"/>
      <c r="E640" s="3"/>
      <c r="G640" s="63"/>
      <c r="H640" s="63"/>
      <c r="I640" s="1"/>
      <c r="J640" s="1"/>
      <c r="K640" s="1"/>
    </row>
    <row r="641" spans="1:11" s="144" customFormat="1" ht="13.5">
      <c r="A641" s="1"/>
      <c r="B641" s="68"/>
      <c r="C641" s="1"/>
      <c r="D641" s="1"/>
      <c r="E641" s="3"/>
      <c r="G641" s="63"/>
      <c r="H641" s="63"/>
      <c r="I641" s="1"/>
      <c r="J641" s="1"/>
      <c r="K641" s="1"/>
    </row>
    <row r="642" spans="1:11" s="144" customFormat="1" ht="13.5">
      <c r="A642" s="1"/>
      <c r="B642" s="68"/>
      <c r="C642" s="1"/>
      <c r="D642" s="1"/>
      <c r="E642" s="3"/>
      <c r="G642" s="63"/>
      <c r="H642" s="63"/>
      <c r="I642" s="1"/>
      <c r="J642" s="1"/>
      <c r="K642" s="1"/>
    </row>
    <row r="643" spans="1:11" s="144" customFormat="1" ht="13.5">
      <c r="A643" s="1"/>
      <c r="B643" s="68"/>
      <c r="C643" s="1"/>
      <c r="D643" s="1"/>
      <c r="E643" s="3"/>
      <c r="G643" s="63"/>
      <c r="H643" s="63"/>
      <c r="I643" s="1"/>
      <c r="J643" s="1"/>
      <c r="K643" s="1"/>
    </row>
    <row r="644" spans="1:11" s="144" customFormat="1" ht="13.5">
      <c r="A644" s="1"/>
      <c r="B644" s="68"/>
      <c r="C644" s="1"/>
      <c r="D644" s="1"/>
      <c r="E644" s="3"/>
      <c r="G644" s="63"/>
      <c r="H644" s="63"/>
      <c r="I644" s="1"/>
      <c r="J644" s="1"/>
      <c r="K644" s="1"/>
    </row>
    <row r="645" spans="1:11" s="144" customFormat="1" ht="13.5">
      <c r="A645" s="1"/>
      <c r="B645" s="68"/>
      <c r="C645" s="1"/>
      <c r="D645" s="1"/>
      <c r="E645" s="3"/>
      <c r="G645" s="63"/>
      <c r="H645" s="63"/>
      <c r="I645" s="1"/>
      <c r="J645" s="1"/>
      <c r="K645" s="1"/>
    </row>
    <row r="646" spans="1:11" s="144" customFormat="1" ht="13.5">
      <c r="A646" s="1"/>
      <c r="B646" s="68"/>
      <c r="C646" s="1"/>
      <c r="D646" s="1"/>
      <c r="E646" s="3"/>
      <c r="G646" s="63"/>
      <c r="H646" s="63"/>
      <c r="I646" s="1"/>
      <c r="J646" s="1"/>
      <c r="K646" s="1"/>
    </row>
    <row r="647" spans="1:11" s="144" customFormat="1" ht="13.5">
      <c r="A647" s="1"/>
      <c r="B647" s="68"/>
      <c r="C647" s="1"/>
      <c r="D647" s="1"/>
      <c r="E647" s="3"/>
      <c r="G647" s="63"/>
      <c r="H647" s="63"/>
      <c r="I647" s="1"/>
      <c r="J647" s="1"/>
      <c r="K647" s="1"/>
    </row>
    <row r="648" spans="1:11" s="144" customFormat="1" ht="13.5">
      <c r="A648" s="1"/>
      <c r="B648" s="68"/>
      <c r="C648" s="1"/>
      <c r="D648" s="1"/>
      <c r="E648" s="3"/>
      <c r="G648" s="63"/>
      <c r="H648" s="63"/>
      <c r="I648" s="1"/>
      <c r="J648" s="1"/>
      <c r="K648" s="1"/>
    </row>
    <row r="649" spans="1:11" s="144" customFormat="1" ht="13.5">
      <c r="A649" s="1"/>
      <c r="B649" s="68"/>
      <c r="C649" s="1"/>
      <c r="D649" s="1"/>
      <c r="E649" s="3"/>
      <c r="G649" s="63"/>
      <c r="H649" s="63"/>
      <c r="I649" s="1"/>
      <c r="J649" s="1"/>
      <c r="K649" s="1"/>
    </row>
    <row r="650" spans="1:11" s="144" customFormat="1" ht="13.5">
      <c r="A650" s="1"/>
      <c r="B650" s="68"/>
      <c r="C650" s="1"/>
      <c r="D650" s="1"/>
      <c r="E650" s="3"/>
      <c r="G650" s="63"/>
      <c r="H650" s="63"/>
      <c r="I650" s="1"/>
      <c r="J650" s="1"/>
      <c r="K650" s="1"/>
    </row>
    <row r="651" spans="1:11" s="144" customFormat="1" ht="13.5">
      <c r="A651" s="1"/>
      <c r="B651" s="68"/>
      <c r="C651" s="1"/>
      <c r="D651" s="1"/>
      <c r="E651" s="3"/>
      <c r="G651" s="63"/>
      <c r="H651" s="63"/>
      <c r="I651" s="1"/>
      <c r="J651" s="1"/>
      <c r="K651" s="1"/>
    </row>
    <row r="652" spans="1:11" s="144" customFormat="1" ht="13.5">
      <c r="A652" s="1"/>
      <c r="B652" s="68"/>
      <c r="C652" s="1"/>
      <c r="D652" s="1"/>
      <c r="E652" s="3"/>
      <c r="G652" s="63"/>
      <c r="H652" s="63"/>
      <c r="I652" s="1"/>
      <c r="J652" s="1"/>
      <c r="K652" s="1"/>
    </row>
    <row r="653" spans="1:11" s="144" customFormat="1" ht="13.5">
      <c r="A653" s="1"/>
      <c r="B653" s="68"/>
      <c r="C653" s="1"/>
      <c r="D653" s="1"/>
      <c r="E653" s="3"/>
      <c r="G653" s="63"/>
      <c r="H653" s="63"/>
      <c r="I653" s="1"/>
      <c r="J653" s="1"/>
      <c r="K653" s="1"/>
    </row>
    <row r="654" spans="1:11" s="144" customFormat="1" ht="13.5">
      <c r="A654" s="1"/>
      <c r="B654" s="68"/>
      <c r="C654" s="1"/>
      <c r="D654" s="1"/>
      <c r="E654" s="3"/>
      <c r="G654" s="63"/>
      <c r="H654" s="63"/>
      <c r="I654" s="1"/>
      <c r="J654" s="1"/>
      <c r="K654" s="1"/>
    </row>
    <row r="655" spans="1:11" s="144" customFormat="1" ht="13.5">
      <c r="A655" s="1"/>
      <c r="B655" s="68"/>
      <c r="C655" s="1"/>
      <c r="D655" s="1"/>
      <c r="E655" s="3"/>
      <c r="G655" s="63"/>
      <c r="H655" s="63"/>
      <c r="I655" s="1"/>
      <c r="J655" s="1"/>
      <c r="K655" s="1"/>
    </row>
    <row r="656" spans="1:11" s="144" customFormat="1" ht="13.5">
      <c r="A656" s="1"/>
      <c r="B656" s="68"/>
      <c r="C656" s="1"/>
      <c r="D656" s="1"/>
      <c r="E656" s="3"/>
      <c r="G656" s="63"/>
      <c r="H656" s="63"/>
      <c r="I656" s="1"/>
      <c r="J656" s="1"/>
      <c r="K656" s="1"/>
    </row>
    <row r="657" spans="1:11" s="144" customFormat="1" ht="13.5">
      <c r="A657" s="1"/>
      <c r="B657" s="68"/>
      <c r="C657" s="1"/>
      <c r="D657" s="1"/>
      <c r="E657" s="3"/>
      <c r="G657" s="63"/>
      <c r="H657" s="63"/>
      <c r="I657" s="1"/>
      <c r="J657" s="1"/>
      <c r="K657" s="1"/>
    </row>
    <row r="658" spans="1:11" s="144" customFormat="1" ht="13.5">
      <c r="A658" s="1"/>
      <c r="B658" s="68"/>
      <c r="C658" s="1"/>
      <c r="D658" s="1"/>
      <c r="E658" s="3"/>
      <c r="G658" s="63"/>
      <c r="H658" s="63"/>
      <c r="I658" s="1"/>
      <c r="J658" s="1"/>
      <c r="K658" s="1"/>
    </row>
    <row r="659" spans="1:11" s="144" customFormat="1" ht="13.5">
      <c r="A659" s="1"/>
      <c r="B659" s="68"/>
      <c r="C659" s="1"/>
      <c r="D659" s="1"/>
      <c r="E659" s="3"/>
      <c r="G659" s="63"/>
      <c r="H659" s="63"/>
      <c r="I659" s="1"/>
      <c r="J659" s="1"/>
      <c r="K659" s="1"/>
    </row>
    <row r="660" spans="1:11" s="144" customFormat="1" ht="13.5">
      <c r="A660" s="1"/>
      <c r="B660" s="68"/>
      <c r="C660" s="1"/>
      <c r="D660" s="1"/>
      <c r="E660" s="3"/>
      <c r="G660" s="63"/>
      <c r="H660" s="63"/>
      <c r="I660" s="1"/>
      <c r="J660" s="1"/>
      <c r="K660" s="1"/>
    </row>
    <row r="661" spans="1:11" s="144" customFormat="1" ht="13.5">
      <c r="A661" s="1"/>
      <c r="B661" s="68"/>
      <c r="C661" s="1"/>
      <c r="D661" s="1"/>
      <c r="E661" s="3"/>
      <c r="G661" s="63"/>
      <c r="H661" s="63"/>
      <c r="I661" s="1"/>
      <c r="J661" s="1"/>
      <c r="K661" s="1"/>
    </row>
    <row r="662" spans="1:11" s="144" customFormat="1" ht="13.5">
      <c r="A662" s="1"/>
      <c r="B662" s="68"/>
      <c r="C662" s="1"/>
      <c r="D662" s="1"/>
      <c r="E662" s="3"/>
      <c r="G662" s="63"/>
      <c r="H662" s="63"/>
      <c r="I662" s="1"/>
      <c r="J662" s="1"/>
      <c r="K662" s="1"/>
    </row>
    <row r="663" spans="1:11" s="144" customFormat="1" ht="13.5">
      <c r="A663" s="1"/>
      <c r="B663" s="68"/>
      <c r="C663" s="1"/>
      <c r="D663" s="1"/>
      <c r="E663" s="3"/>
      <c r="G663" s="63"/>
      <c r="H663" s="63"/>
      <c r="I663" s="1"/>
      <c r="J663" s="1"/>
      <c r="K663" s="1"/>
    </row>
    <row r="664" spans="1:11" s="144" customFormat="1" ht="13.5">
      <c r="A664" s="1"/>
      <c r="B664" s="68"/>
      <c r="C664" s="1"/>
      <c r="D664" s="1"/>
      <c r="E664" s="3"/>
      <c r="G664" s="63"/>
      <c r="H664" s="63"/>
      <c r="I664" s="1"/>
      <c r="J664" s="1"/>
      <c r="K664" s="1"/>
    </row>
    <row r="665" spans="1:11" s="144" customFormat="1" ht="13.5">
      <c r="A665" s="1"/>
      <c r="B665" s="68"/>
      <c r="C665" s="1"/>
      <c r="D665" s="1"/>
      <c r="E665" s="3"/>
      <c r="G665" s="63"/>
      <c r="H665" s="63"/>
      <c r="I665" s="1"/>
      <c r="J665" s="1"/>
      <c r="K665" s="1"/>
    </row>
    <row r="666" spans="1:11" s="144" customFormat="1" ht="13.5">
      <c r="A666" s="1"/>
      <c r="B666" s="68"/>
      <c r="C666" s="1"/>
      <c r="D666" s="1"/>
      <c r="E666" s="3"/>
      <c r="G666" s="63"/>
      <c r="H666" s="63"/>
      <c r="I666" s="1"/>
      <c r="J666" s="1"/>
      <c r="K666" s="1"/>
    </row>
    <row r="667" spans="1:11" s="144" customFormat="1" ht="13.5">
      <c r="A667" s="1"/>
      <c r="B667" s="68"/>
      <c r="C667" s="1"/>
      <c r="D667" s="1"/>
      <c r="E667" s="3"/>
      <c r="G667" s="63"/>
      <c r="H667" s="63"/>
      <c r="I667" s="1"/>
      <c r="J667" s="1"/>
      <c r="K667" s="1"/>
    </row>
    <row r="668" spans="1:11" s="144" customFormat="1" ht="13.5">
      <c r="A668" s="1"/>
      <c r="B668" s="68"/>
      <c r="C668" s="1"/>
      <c r="D668" s="1"/>
      <c r="E668" s="3"/>
      <c r="G668" s="63"/>
      <c r="H668" s="63"/>
      <c r="I668" s="1"/>
      <c r="J668" s="1"/>
      <c r="K668" s="1"/>
    </row>
    <row r="669" spans="1:11" s="144" customFormat="1" ht="13.5">
      <c r="A669" s="1"/>
      <c r="B669" s="68"/>
      <c r="C669" s="1"/>
      <c r="D669" s="1"/>
      <c r="E669" s="3"/>
      <c r="G669" s="63"/>
      <c r="H669" s="63"/>
      <c r="I669" s="1"/>
      <c r="J669" s="1"/>
      <c r="K669" s="1"/>
    </row>
    <row r="670" spans="1:11" s="144" customFormat="1" ht="13.5">
      <c r="A670" s="1"/>
      <c r="B670" s="68"/>
      <c r="C670" s="1"/>
      <c r="D670" s="1"/>
      <c r="E670" s="3"/>
      <c r="G670" s="63"/>
      <c r="H670" s="63"/>
      <c r="I670" s="1"/>
      <c r="J670" s="1"/>
      <c r="K670" s="1"/>
    </row>
    <row r="671" spans="1:11" s="144" customFormat="1" ht="13.5">
      <c r="A671" s="1"/>
      <c r="B671" s="68"/>
      <c r="C671" s="1"/>
      <c r="D671" s="1"/>
      <c r="E671" s="3"/>
      <c r="G671" s="63"/>
      <c r="H671" s="63"/>
      <c r="I671" s="1"/>
      <c r="J671" s="1"/>
      <c r="K671" s="1"/>
    </row>
    <row r="672" spans="1:11" s="144" customFormat="1" ht="13.5">
      <c r="A672" s="1"/>
      <c r="B672" s="68"/>
      <c r="C672" s="1"/>
      <c r="D672" s="1"/>
      <c r="E672" s="3"/>
      <c r="G672" s="63"/>
      <c r="H672" s="63"/>
      <c r="I672" s="1"/>
      <c r="J672" s="1"/>
      <c r="K672" s="1"/>
    </row>
    <row r="673" spans="1:11" s="144" customFormat="1" ht="13.5">
      <c r="A673" s="1"/>
      <c r="B673" s="68"/>
      <c r="C673" s="1"/>
      <c r="D673" s="1"/>
      <c r="E673" s="3"/>
      <c r="G673" s="63"/>
      <c r="H673" s="63"/>
      <c r="I673" s="1"/>
      <c r="J673" s="1"/>
      <c r="K673" s="1"/>
    </row>
    <row r="674" spans="1:11" s="144" customFormat="1" ht="13.5">
      <c r="A674" s="1"/>
      <c r="B674" s="68"/>
      <c r="C674" s="1"/>
      <c r="D674" s="1"/>
      <c r="E674" s="3"/>
      <c r="G674" s="63"/>
      <c r="H674" s="63"/>
      <c r="I674" s="1"/>
      <c r="J674" s="1"/>
      <c r="K674" s="1"/>
    </row>
    <row r="675" spans="1:11" s="144" customFormat="1" ht="13.5">
      <c r="A675" s="1"/>
      <c r="B675" s="68"/>
      <c r="C675" s="1"/>
      <c r="D675" s="1"/>
      <c r="E675" s="3"/>
      <c r="G675" s="63"/>
      <c r="H675" s="63"/>
      <c r="I675" s="1"/>
      <c r="J675" s="1"/>
      <c r="K675" s="1"/>
    </row>
    <row r="676" spans="1:11" s="144" customFormat="1" ht="13.5">
      <c r="A676" s="1"/>
      <c r="B676" s="68"/>
      <c r="C676" s="1"/>
      <c r="D676" s="1"/>
      <c r="E676" s="3"/>
      <c r="G676" s="63"/>
      <c r="H676" s="63"/>
      <c r="I676" s="1"/>
      <c r="J676" s="1"/>
      <c r="K676" s="1"/>
    </row>
    <row r="677" spans="1:11" s="144" customFormat="1" ht="13.5">
      <c r="A677" s="1"/>
      <c r="B677" s="68"/>
      <c r="C677" s="1"/>
      <c r="D677" s="1"/>
      <c r="E677" s="3"/>
      <c r="G677" s="63"/>
      <c r="H677" s="63"/>
      <c r="I677" s="1"/>
      <c r="J677" s="1"/>
      <c r="K677" s="1"/>
    </row>
    <row r="678" spans="1:11" s="144" customFormat="1" ht="13.5">
      <c r="A678" s="1"/>
      <c r="B678" s="68"/>
      <c r="C678" s="1"/>
      <c r="D678" s="1"/>
      <c r="E678" s="3"/>
      <c r="G678" s="63"/>
      <c r="H678" s="63"/>
      <c r="I678" s="1"/>
      <c r="J678" s="1"/>
      <c r="K678" s="1"/>
    </row>
    <row r="679" spans="1:11" s="144" customFormat="1" ht="13.5">
      <c r="A679" s="1"/>
      <c r="B679" s="68"/>
      <c r="C679" s="1"/>
      <c r="D679" s="1"/>
      <c r="E679" s="3"/>
      <c r="G679" s="63"/>
      <c r="H679" s="63"/>
      <c r="I679" s="1"/>
      <c r="J679" s="1"/>
      <c r="K679" s="1"/>
    </row>
    <row r="680" spans="1:11" s="144" customFormat="1" ht="13.5">
      <c r="A680" s="1"/>
      <c r="B680" s="68"/>
      <c r="C680" s="1"/>
      <c r="D680" s="1"/>
      <c r="E680" s="3"/>
      <c r="G680" s="63"/>
      <c r="H680" s="63"/>
      <c r="I680" s="1"/>
      <c r="J680" s="1"/>
      <c r="K680" s="1"/>
    </row>
    <row r="681" spans="1:11" s="144" customFormat="1" ht="13.5">
      <c r="A681" s="1"/>
      <c r="B681" s="68"/>
      <c r="C681" s="1"/>
      <c r="D681" s="1"/>
      <c r="E681" s="3"/>
      <c r="G681" s="63"/>
      <c r="H681" s="63"/>
      <c r="I681" s="1"/>
      <c r="J681" s="1"/>
      <c r="K681" s="1"/>
    </row>
    <row r="682" spans="1:11" s="144" customFormat="1" ht="13.5">
      <c r="A682" s="1"/>
      <c r="B682" s="68"/>
      <c r="C682" s="1"/>
      <c r="D682" s="1"/>
      <c r="E682" s="3"/>
      <c r="G682" s="63"/>
      <c r="H682" s="63"/>
      <c r="I682" s="1"/>
      <c r="J682" s="1"/>
      <c r="K682" s="1"/>
    </row>
    <row r="683" spans="1:11" s="144" customFormat="1" ht="13.5">
      <c r="A683" s="1"/>
      <c r="B683" s="68"/>
      <c r="C683" s="1"/>
      <c r="D683" s="1"/>
      <c r="E683" s="3"/>
      <c r="G683" s="63"/>
      <c r="H683" s="63"/>
      <c r="I683" s="1"/>
      <c r="J683" s="1"/>
      <c r="K683" s="1"/>
    </row>
    <row r="684" spans="1:11" s="144" customFormat="1" ht="13.5">
      <c r="A684" s="1"/>
      <c r="B684" s="68"/>
      <c r="C684" s="1"/>
      <c r="D684" s="1"/>
      <c r="E684" s="3"/>
      <c r="G684" s="63"/>
      <c r="H684" s="63"/>
      <c r="I684" s="1"/>
      <c r="J684" s="1"/>
      <c r="K684" s="1"/>
    </row>
    <row r="685" spans="1:11" s="144" customFormat="1" ht="13.5">
      <c r="A685" s="1"/>
      <c r="B685" s="68"/>
      <c r="C685" s="1"/>
      <c r="D685" s="1"/>
      <c r="E685" s="3"/>
      <c r="G685" s="63"/>
      <c r="H685" s="63"/>
      <c r="I685" s="1"/>
      <c r="J685" s="1"/>
      <c r="K685" s="1"/>
    </row>
    <row r="686" spans="1:11" s="144" customFormat="1" ht="13.5">
      <c r="A686" s="1"/>
      <c r="B686" s="68"/>
      <c r="C686" s="1"/>
      <c r="D686" s="1"/>
      <c r="E686" s="3"/>
      <c r="G686" s="63"/>
      <c r="H686" s="63"/>
      <c r="I686" s="1"/>
      <c r="J686" s="1"/>
      <c r="K686" s="1"/>
    </row>
    <row r="687" spans="1:11" s="144" customFormat="1" ht="13.5">
      <c r="A687" s="1"/>
      <c r="B687" s="68"/>
      <c r="C687" s="1"/>
      <c r="D687" s="1"/>
      <c r="E687" s="3"/>
      <c r="G687" s="63"/>
      <c r="H687" s="63"/>
      <c r="I687" s="1"/>
      <c r="J687" s="1"/>
      <c r="K687" s="1"/>
    </row>
    <row r="688" spans="1:11" s="144" customFormat="1" ht="13.5">
      <c r="A688" s="1"/>
      <c r="B688" s="68"/>
      <c r="C688" s="1"/>
      <c r="D688" s="1"/>
      <c r="E688" s="3"/>
      <c r="G688" s="63"/>
      <c r="H688" s="63"/>
      <c r="I688" s="1"/>
      <c r="J688" s="1"/>
      <c r="K688" s="1"/>
    </row>
    <row r="689" spans="1:11" s="144" customFormat="1" ht="13.5">
      <c r="A689" s="1"/>
      <c r="B689" s="68"/>
      <c r="C689" s="1"/>
      <c r="D689" s="1"/>
      <c r="E689" s="3"/>
      <c r="G689" s="63"/>
      <c r="H689" s="63"/>
      <c r="I689" s="1"/>
      <c r="J689" s="1"/>
      <c r="K689" s="1"/>
    </row>
    <row r="690" spans="1:11" s="144" customFormat="1" ht="13.5">
      <c r="A690" s="1"/>
      <c r="B690" s="68"/>
      <c r="C690" s="1"/>
      <c r="D690" s="1"/>
      <c r="E690" s="3"/>
      <c r="G690" s="63"/>
      <c r="H690" s="63"/>
      <c r="I690" s="1"/>
      <c r="J690" s="1"/>
      <c r="K690" s="1"/>
    </row>
    <row r="691" spans="1:11" s="144" customFormat="1" ht="13.5">
      <c r="A691" s="1"/>
      <c r="B691" s="68"/>
      <c r="C691" s="1"/>
      <c r="D691" s="1"/>
      <c r="E691" s="3"/>
      <c r="G691" s="63"/>
      <c r="H691" s="63"/>
      <c r="I691" s="1"/>
      <c r="J691" s="1"/>
      <c r="K691" s="1"/>
    </row>
    <row r="692" spans="1:11" s="144" customFormat="1" ht="13.5">
      <c r="A692" s="1"/>
      <c r="B692" s="68"/>
      <c r="C692" s="1"/>
      <c r="D692" s="1"/>
      <c r="E692" s="3"/>
      <c r="G692" s="63"/>
      <c r="H692" s="63"/>
      <c r="I692" s="1"/>
      <c r="J692" s="1"/>
      <c r="K692" s="1"/>
    </row>
    <row r="693" spans="1:11" s="144" customFormat="1" ht="13.5">
      <c r="A693" s="1"/>
      <c r="B693" s="68"/>
      <c r="C693" s="1"/>
      <c r="D693" s="1"/>
      <c r="E693" s="3"/>
      <c r="G693" s="63"/>
      <c r="H693" s="63"/>
      <c r="I693" s="1"/>
      <c r="J693" s="1"/>
      <c r="K693" s="1"/>
    </row>
    <row r="694" spans="1:11" s="144" customFormat="1" ht="13.5">
      <c r="A694" s="1"/>
      <c r="B694" s="68"/>
      <c r="C694" s="1"/>
      <c r="D694" s="1"/>
      <c r="E694" s="3"/>
      <c r="G694" s="63"/>
      <c r="H694" s="63"/>
      <c r="I694" s="1"/>
      <c r="J694" s="1"/>
      <c r="K694" s="1"/>
    </row>
    <row r="695" spans="1:11" s="144" customFormat="1" ht="13.5">
      <c r="A695" s="1"/>
      <c r="B695" s="68"/>
      <c r="C695" s="1"/>
      <c r="D695" s="1"/>
      <c r="E695" s="3"/>
      <c r="G695" s="63"/>
      <c r="H695" s="63"/>
      <c r="I695" s="1"/>
      <c r="J695" s="1"/>
      <c r="K695" s="1"/>
    </row>
    <row r="696" spans="1:11" s="144" customFormat="1" ht="13.5">
      <c r="A696" s="1"/>
      <c r="B696" s="68"/>
      <c r="C696" s="1"/>
      <c r="D696" s="1"/>
      <c r="E696" s="3"/>
      <c r="G696" s="63"/>
      <c r="H696" s="63"/>
      <c r="I696" s="1"/>
      <c r="J696" s="1"/>
      <c r="K696" s="1"/>
    </row>
    <row r="697" spans="1:11" s="144" customFormat="1" ht="13.5">
      <c r="A697" s="1"/>
      <c r="B697" s="68"/>
      <c r="C697" s="1"/>
      <c r="D697" s="1"/>
      <c r="E697" s="3"/>
      <c r="G697" s="63"/>
      <c r="H697" s="63"/>
      <c r="I697" s="1"/>
      <c r="J697" s="1"/>
      <c r="K697" s="1"/>
    </row>
    <row r="698" spans="1:11" s="144" customFormat="1" ht="13.5">
      <c r="A698" s="1"/>
      <c r="B698" s="68"/>
      <c r="C698" s="1"/>
      <c r="D698" s="1"/>
      <c r="E698" s="3"/>
      <c r="G698" s="63"/>
      <c r="H698" s="63"/>
      <c r="I698" s="1"/>
      <c r="J698" s="1"/>
      <c r="K698" s="1"/>
    </row>
    <row r="699" spans="1:11" s="144" customFormat="1" ht="13.5">
      <c r="A699" s="1"/>
      <c r="B699" s="68"/>
      <c r="C699" s="1"/>
      <c r="D699" s="1"/>
      <c r="E699" s="3"/>
      <c r="G699" s="63"/>
      <c r="H699" s="63"/>
      <c r="I699" s="1"/>
      <c r="J699" s="1"/>
      <c r="K699" s="1"/>
    </row>
    <row r="700" spans="1:11" s="144" customFormat="1" ht="13.5">
      <c r="A700" s="1"/>
      <c r="B700" s="68"/>
      <c r="C700" s="1"/>
      <c r="D700" s="1"/>
      <c r="E700" s="3"/>
      <c r="G700" s="63"/>
      <c r="H700" s="63"/>
      <c r="I700" s="1"/>
      <c r="J700" s="1"/>
      <c r="K700" s="1"/>
    </row>
    <row r="701" spans="1:11" s="144" customFormat="1" ht="13.5">
      <c r="A701" s="1"/>
      <c r="B701" s="68"/>
      <c r="C701" s="1"/>
      <c r="D701" s="1"/>
      <c r="E701" s="3"/>
      <c r="G701" s="63"/>
      <c r="H701" s="63"/>
      <c r="I701" s="1"/>
      <c r="J701" s="1"/>
      <c r="K701" s="1"/>
    </row>
    <row r="702" spans="1:11" s="144" customFormat="1" ht="13.5">
      <c r="A702" s="1"/>
      <c r="B702" s="68"/>
      <c r="C702" s="1"/>
      <c r="D702" s="1"/>
      <c r="E702" s="3"/>
      <c r="G702" s="63"/>
      <c r="H702" s="63"/>
      <c r="I702" s="1"/>
      <c r="J702" s="1"/>
      <c r="K702" s="1"/>
    </row>
    <row r="703" spans="1:11" s="144" customFormat="1" ht="13.5">
      <c r="A703" s="1"/>
      <c r="B703" s="68"/>
      <c r="C703" s="1"/>
      <c r="D703" s="1"/>
      <c r="E703" s="3"/>
      <c r="G703" s="63"/>
      <c r="H703" s="63"/>
      <c r="I703" s="1"/>
      <c r="J703" s="1"/>
      <c r="K703" s="1"/>
    </row>
    <row r="704" spans="1:11" s="144" customFormat="1" ht="13.5">
      <c r="A704" s="1"/>
      <c r="B704" s="68"/>
      <c r="C704" s="1"/>
      <c r="D704" s="1"/>
      <c r="E704" s="3"/>
      <c r="G704" s="63"/>
      <c r="H704" s="63"/>
      <c r="I704" s="1"/>
      <c r="J704" s="1"/>
      <c r="K704" s="1"/>
    </row>
    <row r="705" spans="1:11" s="144" customFormat="1" ht="13.5">
      <c r="A705" s="1"/>
      <c r="B705" s="68"/>
      <c r="C705" s="1"/>
      <c r="D705" s="1"/>
      <c r="E705" s="3"/>
      <c r="G705" s="63"/>
      <c r="H705" s="63"/>
      <c r="I705" s="1"/>
      <c r="J705" s="1"/>
      <c r="K705" s="1"/>
    </row>
    <row r="706" spans="1:11" s="144" customFormat="1" ht="13.5">
      <c r="A706" s="1"/>
      <c r="B706" s="68"/>
      <c r="C706" s="1"/>
      <c r="D706" s="1"/>
      <c r="E706" s="3"/>
      <c r="G706" s="63"/>
      <c r="H706" s="63"/>
      <c r="I706" s="1"/>
      <c r="J706" s="1"/>
      <c r="K706" s="1"/>
    </row>
    <row r="707" spans="1:11" s="144" customFormat="1" ht="13.5">
      <c r="A707" s="1"/>
      <c r="B707" s="68"/>
      <c r="C707" s="1"/>
      <c r="D707" s="1"/>
      <c r="E707" s="3"/>
      <c r="G707" s="63"/>
      <c r="H707" s="63"/>
      <c r="I707" s="1"/>
      <c r="J707" s="1"/>
      <c r="K707" s="1"/>
    </row>
    <row r="708" spans="1:11" s="144" customFormat="1" ht="13.5">
      <c r="A708" s="1"/>
      <c r="B708" s="68"/>
      <c r="C708" s="1"/>
      <c r="D708" s="1"/>
      <c r="E708" s="3"/>
      <c r="G708" s="63"/>
      <c r="H708" s="63"/>
      <c r="I708" s="1"/>
      <c r="J708" s="1"/>
      <c r="K708" s="1"/>
    </row>
    <row r="709" spans="1:11" s="144" customFormat="1" ht="13.5">
      <c r="A709" s="1"/>
      <c r="B709" s="68"/>
      <c r="C709" s="1"/>
      <c r="D709" s="1"/>
      <c r="E709" s="3"/>
      <c r="G709" s="63"/>
      <c r="H709" s="63"/>
      <c r="I709" s="1"/>
      <c r="J709" s="1"/>
      <c r="K709" s="1"/>
    </row>
    <row r="710" spans="1:11" s="144" customFormat="1" ht="13.5">
      <c r="A710" s="1"/>
      <c r="B710" s="68"/>
      <c r="C710" s="1"/>
      <c r="D710" s="1"/>
      <c r="E710" s="3"/>
      <c r="G710" s="63"/>
      <c r="H710" s="63"/>
      <c r="I710" s="1"/>
      <c r="J710" s="1"/>
      <c r="K710" s="1"/>
    </row>
    <row r="711" spans="1:11" s="144" customFormat="1" ht="13.5">
      <c r="A711" s="1"/>
      <c r="B711" s="68"/>
      <c r="C711" s="1"/>
      <c r="D711" s="1"/>
      <c r="E711" s="3"/>
      <c r="G711" s="63"/>
      <c r="H711" s="63"/>
      <c r="I711" s="1"/>
      <c r="J711" s="1"/>
      <c r="K711" s="1"/>
    </row>
    <row r="712" spans="1:11" s="144" customFormat="1" ht="13.5">
      <c r="A712" s="1"/>
      <c r="B712" s="68"/>
      <c r="C712" s="1"/>
      <c r="D712" s="1"/>
      <c r="E712" s="3"/>
      <c r="G712" s="63"/>
      <c r="H712" s="63"/>
      <c r="I712" s="1"/>
      <c r="J712" s="1"/>
      <c r="K712" s="1"/>
    </row>
    <row r="713" spans="1:11" s="144" customFormat="1" ht="13.5">
      <c r="A713" s="1"/>
      <c r="B713" s="68"/>
      <c r="C713" s="1"/>
      <c r="D713" s="1"/>
      <c r="E713" s="3"/>
      <c r="G713" s="63"/>
      <c r="H713" s="63"/>
      <c r="I713" s="1"/>
      <c r="J713" s="1"/>
      <c r="K713" s="1"/>
    </row>
    <row r="714" spans="1:11" s="144" customFormat="1" ht="13.5">
      <c r="A714" s="1"/>
      <c r="B714" s="68"/>
      <c r="C714" s="1"/>
      <c r="D714" s="1"/>
      <c r="E714" s="3"/>
      <c r="G714" s="63"/>
      <c r="H714" s="63"/>
      <c r="I714" s="1"/>
      <c r="J714" s="1"/>
      <c r="K714" s="1"/>
    </row>
    <row r="715" spans="1:11" s="144" customFormat="1" ht="13.5">
      <c r="A715" s="1"/>
      <c r="B715" s="68"/>
      <c r="C715" s="1"/>
      <c r="D715" s="1"/>
      <c r="E715" s="3"/>
      <c r="G715" s="63"/>
      <c r="H715" s="63"/>
      <c r="I715" s="1"/>
      <c r="J715" s="1"/>
      <c r="K715" s="1"/>
    </row>
    <row r="716" spans="1:11" s="144" customFormat="1" ht="13.5">
      <c r="A716" s="1"/>
      <c r="B716" s="68"/>
      <c r="C716" s="1"/>
      <c r="D716" s="1"/>
      <c r="E716" s="3"/>
      <c r="G716" s="63"/>
      <c r="H716" s="63"/>
      <c r="I716" s="1"/>
      <c r="J716" s="1"/>
      <c r="K716" s="1"/>
    </row>
    <row r="717" spans="1:11" s="144" customFormat="1" ht="13.5">
      <c r="A717" s="1"/>
      <c r="B717" s="68"/>
      <c r="C717" s="1"/>
      <c r="D717" s="1"/>
      <c r="E717" s="3"/>
      <c r="G717" s="63"/>
      <c r="H717" s="63"/>
      <c r="I717" s="1"/>
      <c r="J717" s="1"/>
      <c r="K717" s="1"/>
    </row>
    <row r="718" spans="1:11" s="144" customFormat="1" ht="13.5">
      <c r="A718" s="1"/>
      <c r="B718" s="68"/>
      <c r="C718" s="1"/>
      <c r="D718" s="1"/>
      <c r="E718" s="3"/>
      <c r="G718" s="63"/>
      <c r="H718" s="63"/>
      <c r="I718" s="1"/>
      <c r="J718" s="1"/>
      <c r="K718" s="1"/>
    </row>
    <row r="719" spans="1:11" s="144" customFormat="1" ht="13.5">
      <c r="A719" s="1"/>
      <c r="B719" s="68"/>
      <c r="C719" s="1"/>
      <c r="D719" s="1"/>
      <c r="E719" s="3"/>
      <c r="G719" s="63"/>
      <c r="H719" s="63"/>
      <c r="I719" s="1"/>
      <c r="J719" s="1"/>
      <c r="K719" s="1"/>
    </row>
    <row r="720" spans="1:11" s="144" customFormat="1" ht="13.5">
      <c r="A720" s="1"/>
      <c r="B720" s="68"/>
      <c r="C720" s="1"/>
      <c r="D720" s="1"/>
      <c r="E720" s="3"/>
      <c r="G720" s="63"/>
      <c r="H720" s="63"/>
      <c r="I720" s="1"/>
      <c r="J720" s="1"/>
      <c r="K720" s="1"/>
    </row>
    <row r="721" spans="1:11" s="144" customFormat="1" ht="13.5">
      <c r="A721" s="1"/>
      <c r="B721" s="68"/>
      <c r="C721" s="1"/>
      <c r="D721" s="1"/>
      <c r="E721" s="3"/>
      <c r="G721" s="63"/>
      <c r="H721" s="63"/>
      <c r="I721" s="1"/>
      <c r="J721" s="1"/>
      <c r="K721" s="1"/>
    </row>
    <row r="722" spans="1:11" s="144" customFormat="1" ht="13.5">
      <c r="A722" s="1"/>
      <c r="B722" s="68"/>
      <c r="C722" s="1"/>
      <c r="D722" s="1"/>
      <c r="E722" s="3"/>
      <c r="G722" s="63"/>
      <c r="H722" s="63"/>
      <c r="I722" s="1"/>
      <c r="J722" s="1"/>
      <c r="K722" s="1"/>
    </row>
    <row r="723" spans="1:11" s="144" customFormat="1" ht="13.5">
      <c r="A723" s="1"/>
      <c r="B723" s="68"/>
      <c r="C723" s="1"/>
      <c r="D723" s="1"/>
      <c r="E723" s="3"/>
      <c r="G723" s="63"/>
      <c r="H723" s="63"/>
      <c r="I723" s="1"/>
      <c r="J723" s="1"/>
      <c r="K723" s="1"/>
    </row>
    <row r="724" spans="1:11" s="144" customFormat="1" ht="13.5">
      <c r="A724" s="1"/>
      <c r="B724" s="68"/>
      <c r="C724" s="1"/>
      <c r="D724" s="1"/>
      <c r="E724" s="3"/>
      <c r="G724" s="63"/>
      <c r="H724" s="63"/>
      <c r="I724" s="1"/>
      <c r="J724" s="1"/>
      <c r="K724" s="1"/>
    </row>
    <row r="725" spans="1:11" s="144" customFormat="1" ht="13.5">
      <c r="A725" s="1"/>
      <c r="B725" s="68"/>
      <c r="C725" s="1"/>
      <c r="D725" s="1"/>
      <c r="E725" s="3"/>
      <c r="G725" s="63"/>
      <c r="H725" s="63"/>
      <c r="I725" s="1"/>
      <c r="J725" s="1"/>
      <c r="K725" s="1"/>
    </row>
    <row r="726" spans="1:11" s="144" customFormat="1" ht="13.5">
      <c r="A726" s="1"/>
      <c r="B726" s="68"/>
      <c r="C726" s="1"/>
      <c r="D726" s="1"/>
      <c r="E726" s="3"/>
      <c r="G726" s="63"/>
      <c r="H726" s="63"/>
      <c r="I726" s="1"/>
      <c r="J726" s="1"/>
      <c r="K726" s="1"/>
    </row>
    <row r="727" spans="1:11" s="144" customFormat="1" ht="13.5">
      <c r="A727" s="1"/>
      <c r="B727" s="68"/>
      <c r="C727" s="1"/>
      <c r="D727" s="1"/>
      <c r="E727" s="3"/>
      <c r="G727" s="63"/>
      <c r="H727" s="63"/>
      <c r="I727" s="1"/>
      <c r="J727" s="1"/>
      <c r="K727" s="1"/>
    </row>
    <row r="728" spans="1:11" s="144" customFormat="1" ht="13.5">
      <c r="A728" s="1"/>
      <c r="B728" s="68"/>
      <c r="C728" s="1"/>
      <c r="D728" s="1"/>
      <c r="E728" s="3"/>
      <c r="G728" s="63"/>
      <c r="H728" s="63"/>
      <c r="I728" s="1"/>
      <c r="J728" s="1"/>
      <c r="K728" s="1"/>
    </row>
    <row r="729" spans="1:11" s="144" customFormat="1" ht="13.5">
      <c r="A729" s="1"/>
      <c r="B729" s="68"/>
      <c r="C729" s="1"/>
      <c r="D729" s="1"/>
      <c r="E729" s="3"/>
      <c r="G729" s="63"/>
      <c r="H729" s="63"/>
      <c r="I729" s="1"/>
      <c r="J729" s="1"/>
      <c r="K729" s="1"/>
    </row>
    <row r="730" spans="1:11" s="144" customFormat="1" ht="13.5">
      <c r="A730" s="1"/>
      <c r="B730" s="68"/>
      <c r="C730" s="1"/>
      <c r="D730" s="1"/>
      <c r="E730" s="3"/>
      <c r="G730" s="63"/>
      <c r="H730" s="63"/>
      <c r="I730" s="1"/>
      <c r="J730" s="1"/>
      <c r="K730" s="1"/>
    </row>
    <row r="731" spans="1:11" s="144" customFormat="1" ht="13.5">
      <c r="A731" s="1"/>
      <c r="B731" s="68"/>
      <c r="C731" s="1"/>
      <c r="D731" s="1"/>
      <c r="E731" s="3"/>
      <c r="G731" s="63"/>
      <c r="H731" s="63"/>
      <c r="I731" s="1"/>
      <c r="J731" s="1"/>
      <c r="K731" s="1"/>
    </row>
    <row r="732" spans="1:11" s="144" customFormat="1" ht="13.5">
      <c r="A732" s="1"/>
      <c r="B732" s="68"/>
      <c r="C732" s="1"/>
      <c r="D732" s="1"/>
      <c r="E732" s="3"/>
      <c r="G732" s="63"/>
      <c r="H732" s="63"/>
      <c r="I732" s="1"/>
      <c r="J732" s="1"/>
      <c r="K732" s="1"/>
    </row>
    <row r="733" spans="1:11" s="144" customFormat="1" ht="13.5">
      <c r="A733" s="1"/>
      <c r="B733" s="68"/>
      <c r="C733" s="1"/>
      <c r="D733" s="1"/>
      <c r="E733" s="3"/>
      <c r="G733" s="63"/>
      <c r="H733" s="63"/>
      <c r="I733" s="1"/>
      <c r="J733" s="1"/>
      <c r="K733" s="1"/>
    </row>
    <row r="734" spans="1:11" s="144" customFormat="1" ht="13.5">
      <c r="A734" s="1"/>
      <c r="B734" s="68"/>
      <c r="C734" s="1"/>
      <c r="D734" s="1"/>
      <c r="E734" s="3"/>
      <c r="G734" s="63"/>
      <c r="H734" s="63"/>
      <c r="I734" s="1"/>
      <c r="J734" s="1"/>
      <c r="K734" s="1"/>
    </row>
    <row r="735" spans="1:11" s="144" customFormat="1" ht="13.5">
      <c r="A735" s="1"/>
      <c r="B735" s="68"/>
      <c r="C735" s="1"/>
      <c r="D735" s="1"/>
      <c r="E735" s="3"/>
      <c r="G735" s="63"/>
      <c r="H735" s="63"/>
      <c r="I735" s="1"/>
      <c r="J735" s="1"/>
      <c r="K735" s="1"/>
    </row>
    <row r="736" spans="1:11" s="144" customFormat="1" ht="13.5">
      <c r="A736" s="1"/>
      <c r="B736" s="68"/>
      <c r="C736" s="1"/>
      <c r="D736" s="1"/>
      <c r="E736" s="3"/>
      <c r="G736" s="63"/>
      <c r="H736" s="63"/>
      <c r="I736" s="1"/>
      <c r="J736" s="1"/>
      <c r="K736" s="1"/>
    </row>
    <row r="737" spans="1:11" s="144" customFormat="1" ht="13.5">
      <c r="A737" s="1"/>
      <c r="B737" s="68"/>
      <c r="C737" s="1"/>
      <c r="D737" s="1"/>
      <c r="E737" s="3"/>
      <c r="G737" s="63"/>
      <c r="H737" s="63"/>
      <c r="I737" s="1"/>
      <c r="J737" s="1"/>
      <c r="K737" s="1"/>
    </row>
    <row r="738" spans="1:11" s="144" customFormat="1" ht="13.5">
      <c r="A738" s="1"/>
      <c r="B738" s="68"/>
      <c r="C738" s="1"/>
      <c r="D738" s="1"/>
      <c r="E738" s="3"/>
      <c r="G738" s="63"/>
      <c r="H738" s="63"/>
      <c r="I738" s="1"/>
      <c r="J738" s="1"/>
      <c r="K738" s="1"/>
    </row>
    <row r="739" spans="1:11" s="144" customFormat="1" ht="13.5">
      <c r="A739" s="1"/>
      <c r="B739" s="68"/>
      <c r="C739" s="1"/>
      <c r="D739" s="1"/>
      <c r="E739" s="3"/>
      <c r="G739" s="63"/>
      <c r="H739" s="63"/>
      <c r="I739" s="1"/>
      <c r="J739" s="1"/>
      <c r="K739" s="1"/>
    </row>
    <row r="740" spans="1:11" s="144" customFormat="1" ht="13.5">
      <c r="A740" s="1"/>
      <c r="B740" s="68"/>
      <c r="C740" s="1"/>
      <c r="D740" s="1"/>
      <c r="E740" s="3"/>
      <c r="G740" s="63"/>
      <c r="H740" s="63"/>
      <c r="I740" s="1"/>
      <c r="J740" s="1"/>
      <c r="K740" s="1"/>
    </row>
    <row r="741" spans="1:11" s="144" customFormat="1" ht="13.5">
      <c r="A741" s="1"/>
      <c r="B741" s="68"/>
      <c r="C741" s="1"/>
      <c r="D741" s="1"/>
      <c r="E741" s="3"/>
      <c r="G741" s="63"/>
      <c r="H741" s="63"/>
      <c r="I741" s="1"/>
      <c r="J741" s="1"/>
      <c r="K741" s="1"/>
    </row>
    <row r="742" spans="1:11" s="144" customFormat="1" ht="13.5">
      <c r="A742" s="1"/>
      <c r="B742" s="68"/>
      <c r="C742" s="1"/>
      <c r="D742" s="1"/>
      <c r="E742" s="3"/>
      <c r="G742" s="63"/>
      <c r="H742" s="63"/>
      <c r="I742" s="1"/>
      <c r="J742" s="1"/>
      <c r="K742" s="1"/>
    </row>
    <row r="743" spans="1:11" s="144" customFormat="1" ht="13.5">
      <c r="A743" s="1"/>
      <c r="B743" s="68"/>
      <c r="C743" s="1"/>
      <c r="D743" s="1"/>
      <c r="E743" s="3"/>
      <c r="G743" s="63"/>
      <c r="H743" s="63"/>
      <c r="I743" s="1"/>
      <c r="J743" s="1"/>
      <c r="K743" s="1"/>
    </row>
    <row r="744" spans="1:11" s="144" customFormat="1" ht="13.5">
      <c r="A744" s="1"/>
      <c r="B744" s="68"/>
      <c r="C744" s="1"/>
      <c r="D744" s="1"/>
      <c r="E744" s="3"/>
      <c r="G744" s="63"/>
      <c r="H744" s="63"/>
      <c r="I744" s="1"/>
      <c r="J744" s="1"/>
      <c r="K744" s="1"/>
    </row>
    <row r="745" spans="1:11" s="144" customFormat="1" ht="13.5">
      <c r="A745" s="1"/>
      <c r="B745" s="68"/>
      <c r="C745" s="1"/>
      <c r="D745" s="1"/>
      <c r="E745" s="3"/>
      <c r="G745" s="63"/>
      <c r="H745" s="63"/>
      <c r="I745" s="1"/>
      <c r="J745" s="1"/>
      <c r="K745" s="1"/>
    </row>
    <row r="746" spans="1:11" s="144" customFormat="1" ht="13.5">
      <c r="A746" s="1"/>
      <c r="B746" s="68"/>
      <c r="C746" s="1"/>
      <c r="D746" s="1"/>
      <c r="E746" s="3"/>
      <c r="G746" s="63"/>
      <c r="H746" s="63"/>
      <c r="I746" s="1"/>
      <c r="J746" s="1"/>
      <c r="K746" s="1"/>
    </row>
    <row r="747" spans="1:11" s="144" customFormat="1" ht="13.5">
      <c r="A747" s="1"/>
      <c r="B747" s="68"/>
      <c r="C747" s="1"/>
      <c r="D747" s="1"/>
      <c r="E747" s="3"/>
      <c r="G747" s="63"/>
      <c r="H747" s="63"/>
      <c r="I747" s="1"/>
      <c r="J747" s="1"/>
      <c r="K747" s="1"/>
    </row>
    <row r="748" spans="1:11" s="144" customFormat="1" ht="13.5">
      <c r="A748" s="1"/>
      <c r="B748" s="68"/>
      <c r="C748" s="1"/>
      <c r="D748" s="1"/>
      <c r="E748" s="3"/>
      <c r="G748" s="63"/>
      <c r="H748" s="63"/>
      <c r="I748" s="1"/>
      <c r="J748" s="1"/>
      <c r="K748" s="1"/>
    </row>
    <row r="749" spans="1:11" s="144" customFormat="1" ht="13.5">
      <c r="A749" s="1"/>
      <c r="B749" s="68"/>
      <c r="C749" s="1"/>
      <c r="D749" s="1"/>
      <c r="E749" s="3"/>
      <c r="G749" s="63"/>
      <c r="H749" s="63"/>
      <c r="I749" s="1"/>
      <c r="J749" s="1"/>
      <c r="K749" s="1"/>
    </row>
    <row r="750" spans="1:11" s="144" customFormat="1" ht="13.5">
      <c r="A750" s="1"/>
      <c r="B750" s="68"/>
      <c r="C750" s="1"/>
      <c r="D750" s="1"/>
      <c r="E750" s="3"/>
      <c r="G750" s="63"/>
      <c r="H750" s="63"/>
      <c r="I750" s="1"/>
      <c r="J750" s="1"/>
      <c r="K750" s="1"/>
    </row>
    <row r="751" spans="1:11" s="144" customFormat="1" ht="13.5">
      <c r="A751" s="1"/>
      <c r="B751" s="68"/>
      <c r="C751" s="1"/>
      <c r="D751" s="1"/>
      <c r="E751" s="3"/>
      <c r="G751" s="63"/>
      <c r="H751" s="63"/>
      <c r="I751" s="1"/>
      <c r="J751" s="1"/>
      <c r="K751" s="1"/>
    </row>
    <row r="752" spans="1:11" s="144" customFormat="1" ht="13.5">
      <c r="A752" s="1"/>
      <c r="B752" s="68"/>
      <c r="C752" s="1"/>
      <c r="D752" s="1"/>
      <c r="E752" s="3"/>
      <c r="G752" s="63"/>
      <c r="H752" s="63"/>
      <c r="I752" s="1"/>
      <c r="J752" s="1"/>
      <c r="K752" s="1"/>
    </row>
    <row r="753" spans="1:11" s="144" customFormat="1" ht="13.5">
      <c r="A753" s="1"/>
      <c r="B753" s="68"/>
      <c r="C753" s="1"/>
      <c r="D753" s="1"/>
      <c r="E753" s="3"/>
      <c r="G753" s="63"/>
      <c r="H753" s="63"/>
      <c r="I753" s="1"/>
      <c r="J753" s="1"/>
      <c r="K753" s="1"/>
    </row>
    <row r="754" spans="1:11" s="144" customFormat="1" ht="13.5">
      <c r="A754" s="1"/>
      <c r="B754" s="68"/>
      <c r="C754" s="1"/>
      <c r="D754" s="1"/>
      <c r="E754" s="3"/>
      <c r="G754" s="63"/>
      <c r="H754" s="63"/>
      <c r="I754" s="1"/>
      <c r="J754" s="1"/>
      <c r="K754" s="1"/>
    </row>
    <row r="755" spans="1:11" s="144" customFormat="1" ht="13.5">
      <c r="A755" s="1"/>
      <c r="B755" s="68"/>
      <c r="C755" s="1"/>
      <c r="D755" s="1"/>
      <c r="E755" s="3"/>
      <c r="G755" s="63"/>
      <c r="H755" s="63"/>
      <c r="I755" s="1"/>
      <c r="J755" s="1"/>
      <c r="K755" s="1"/>
    </row>
    <row r="756" spans="1:11" s="144" customFormat="1" ht="13.5">
      <c r="A756" s="1"/>
      <c r="B756" s="68"/>
      <c r="C756" s="1"/>
      <c r="D756" s="1"/>
      <c r="E756" s="3"/>
      <c r="G756" s="63"/>
      <c r="H756" s="63"/>
      <c r="I756" s="1"/>
      <c r="J756" s="1"/>
      <c r="K756" s="1"/>
    </row>
    <row r="757" spans="1:11" s="144" customFormat="1" ht="13.5">
      <c r="A757" s="1"/>
      <c r="B757" s="68"/>
      <c r="C757" s="1"/>
      <c r="D757" s="1"/>
      <c r="E757" s="3"/>
      <c r="G757" s="63"/>
      <c r="H757" s="63"/>
      <c r="I757" s="1"/>
      <c r="J757" s="1"/>
      <c r="K757" s="1"/>
    </row>
    <row r="758" spans="1:11" s="144" customFormat="1" ht="13.5">
      <c r="A758" s="1"/>
      <c r="B758" s="68"/>
      <c r="C758" s="1"/>
      <c r="D758" s="1"/>
      <c r="E758" s="3"/>
      <c r="G758" s="63"/>
      <c r="H758" s="63"/>
      <c r="I758" s="1"/>
      <c r="J758" s="1"/>
      <c r="K758" s="1"/>
    </row>
    <row r="759" spans="1:11" s="144" customFormat="1" ht="13.5">
      <c r="A759" s="1"/>
      <c r="B759" s="68"/>
      <c r="C759" s="1"/>
      <c r="D759" s="1"/>
      <c r="E759" s="3"/>
      <c r="G759" s="63"/>
      <c r="H759" s="63"/>
      <c r="I759" s="1"/>
      <c r="J759" s="1"/>
      <c r="K759" s="1"/>
    </row>
    <row r="760" spans="1:11" s="144" customFormat="1" ht="13.5">
      <c r="A760" s="1"/>
      <c r="B760" s="68"/>
      <c r="C760" s="1"/>
      <c r="D760" s="1"/>
      <c r="E760" s="3"/>
      <c r="G760" s="63"/>
      <c r="H760" s="63"/>
      <c r="I760" s="1"/>
      <c r="J760" s="1"/>
      <c r="K760" s="1"/>
    </row>
    <row r="761" spans="1:11" s="144" customFormat="1" ht="13.5">
      <c r="A761" s="1"/>
      <c r="B761" s="68"/>
      <c r="C761" s="1"/>
      <c r="D761" s="1"/>
      <c r="E761" s="3"/>
      <c r="G761" s="63"/>
      <c r="H761" s="63"/>
      <c r="I761" s="1"/>
      <c r="J761" s="1"/>
      <c r="K761" s="1"/>
    </row>
    <row r="762" spans="1:11" s="144" customFormat="1" ht="13.5">
      <c r="A762" s="1"/>
      <c r="B762" s="68"/>
      <c r="C762" s="1"/>
      <c r="D762" s="1"/>
      <c r="E762" s="3"/>
      <c r="G762" s="63"/>
      <c r="H762" s="63"/>
      <c r="I762" s="1"/>
      <c r="J762" s="1"/>
      <c r="K762" s="1"/>
    </row>
    <row r="763" spans="1:11" s="144" customFormat="1" ht="13.5">
      <c r="A763" s="1"/>
      <c r="B763" s="68"/>
      <c r="C763" s="1"/>
      <c r="D763" s="1"/>
      <c r="E763" s="3"/>
      <c r="G763" s="63"/>
      <c r="H763" s="63"/>
      <c r="I763" s="1"/>
      <c r="J763" s="1"/>
      <c r="K763" s="1"/>
    </row>
    <row r="764" spans="1:11" s="144" customFormat="1" ht="13.5">
      <c r="A764" s="1"/>
      <c r="B764" s="68"/>
      <c r="C764" s="1"/>
      <c r="D764" s="1"/>
      <c r="E764" s="3"/>
      <c r="G764" s="63"/>
      <c r="H764" s="63"/>
      <c r="I764" s="1"/>
      <c r="J764" s="1"/>
      <c r="K764" s="1"/>
    </row>
    <row r="765" spans="1:11" s="144" customFormat="1" ht="13.5">
      <c r="A765" s="1"/>
      <c r="B765" s="68"/>
      <c r="C765" s="1"/>
      <c r="D765" s="1"/>
      <c r="E765" s="3"/>
      <c r="G765" s="63"/>
      <c r="H765" s="63"/>
      <c r="I765" s="1"/>
      <c r="J765" s="1"/>
      <c r="K765" s="1"/>
    </row>
    <row r="766" spans="1:11" s="144" customFormat="1" ht="13.5">
      <c r="A766" s="1"/>
      <c r="B766" s="68"/>
      <c r="C766" s="1"/>
      <c r="D766" s="1"/>
      <c r="E766" s="3"/>
      <c r="G766" s="63"/>
      <c r="H766" s="63"/>
      <c r="I766" s="1"/>
      <c r="J766" s="1"/>
      <c r="K766" s="1"/>
    </row>
    <row r="767" spans="1:11" s="144" customFormat="1" ht="13.5">
      <c r="A767" s="1"/>
      <c r="B767" s="68"/>
      <c r="C767" s="1"/>
      <c r="D767" s="1"/>
      <c r="E767" s="3"/>
      <c r="G767" s="63"/>
      <c r="H767" s="63"/>
      <c r="I767" s="1"/>
      <c r="J767" s="1"/>
      <c r="K767" s="1"/>
    </row>
    <row r="768" spans="1:11" s="144" customFormat="1" ht="13.5">
      <c r="A768" s="1"/>
      <c r="B768" s="68"/>
      <c r="C768" s="1"/>
      <c r="D768" s="1"/>
      <c r="E768" s="3"/>
      <c r="G768" s="63"/>
      <c r="H768" s="63"/>
      <c r="I768" s="1"/>
      <c r="J768" s="1"/>
      <c r="K768" s="1"/>
    </row>
    <row r="769" spans="1:11" s="144" customFormat="1" ht="13.5">
      <c r="A769" s="1"/>
      <c r="B769" s="68"/>
      <c r="C769" s="1"/>
      <c r="D769" s="1"/>
      <c r="E769" s="3"/>
      <c r="G769" s="63"/>
      <c r="H769" s="63"/>
      <c r="I769" s="1"/>
      <c r="J769" s="1"/>
      <c r="K769" s="1"/>
    </row>
    <row r="770" spans="1:11" s="144" customFormat="1" ht="13.5">
      <c r="A770" s="1"/>
      <c r="B770" s="68"/>
      <c r="C770" s="1"/>
      <c r="D770" s="1"/>
      <c r="E770" s="3"/>
      <c r="G770" s="63"/>
      <c r="H770" s="63"/>
      <c r="I770" s="1"/>
      <c r="J770" s="1"/>
      <c r="K770" s="1"/>
    </row>
    <row r="771" spans="1:11" s="144" customFormat="1" ht="13.5">
      <c r="A771" s="1"/>
      <c r="B771" s="68"/>
      <c r="C771" s="1"/>
      <c r="D771" s="1"/>
      <c r="E771" s="3"/>
      <c r="G771" s="63"/>
      <c r="H771" s="63"/>
      <c r="I771" s="1"/>
      <c r="J771" s="1"/>
      <c r="K771" s="1"/>
    </row>
    <row r="772" spans="1:11" s="144" customFormat="1" ht="13.5">
      <c r="A772" s="1"/>
      <c r="B772" s="68"/>
      <c r="C772" s="1"/>
      <c r="D772" s="1"/>
      <c r="E772" s="3"/>
      <c r="G772" s="63"/>
      <c r="H772" s="63"/>
      <c r="I772" s="1"/>
      <c r="J772" s="1"/>
      <c r="K772" s="1"/>
    </row>
    <row r="773" spans="1:11" s="144" customFormat="1" ht="13.5">
      <c r="A773" s="1"/>
      <c r="B773" s="68"/>
      <c r="C773" s="1"/>
      <c r="D773" s="1"/>
      <c r="E773" s="3"/>
      <c r="G773" s="63"/>
      <c r="H773" s="63"/>
      <c r="I773" s="1"/>
      <c r="J773" s="1"/>
      <c r="K773" s="1"/>
    </row>
    <row r="774" spans="1:11" s="144" customFormat="1" ht="13.5">
      <c r="A774" s="1"/>
      <c r="B774" s="68"/>
      <c r="C774" s="1"/>
      <c r="D774" s="1"/>
      <c r="E774" s="3"/>
      <c r="G774" s="63"/>
      <c r="H774" s="63"/>
      <c r="I774" s="1"/>
      <c r="J774" s="1"/>
      <c r="K774" s="1"/>
    </row>
    <row r="775" spans="1:11" s="144" customFormat="1" ht="13.5">
      <c r="A775" s="1"/>
      <c r="B775" s="68"/>
      <c r="C775" s="1"/>
      <c r="D775" s="1"/>
      <c r="E775" s="3"/>
      <c r="G775" s="63"/>
      <c r="H775" s="63"/>
      <c r="I775" s="1"/>
      <c r="J775" s="1"/>
      <c r="K775" s="1"/>
    </row>
    <row r="776" spans="1:11" s="144" customFormat="1" ht="13.5">
      <c r="A776" s="1"/>
      <c r="B776" s="68"/>
      <c r="C776" s="1"/>
      <c r="D776" s="1"/>
      <c r="E776" s="3"/>
      <c r="G776" s="63"/>
      <c r="H776" s="63"/>
      <c r="I776" s="1"/>
      <c r="J776" s="1"/>
      <c r="K776" s="1"/>
    </row>
    <row r="777" spans="1:11" s="144" customFormat="1" ht="13.5">
      <c r="A777" s="1"/>
      <c r="B777" s="68"/>
      <c r="C777" s="1"/>
      <c r="D777" s="1"/>
      <c r="E777" s="3"/>
      <c r="G777" s="63"/>
      <c r="H777" s="63"/>
      <c r="I777" s="1"/>
      <c r="J777" s="1"/>
      <c r="K777" s="1"/>
    </row>
    <row r="778" spans="1:11" s="144" customFormat="1" ht="13.5">
      <c r="A778" s="1"/>
      <c r="B778" s="68"/>
      <c r="C778" s="1"/>
      <c r="D778" s="1"/>
      <c r="E778" s="3"/>
      <c r="G778" s="63"/>
      <c r="H778" s="63"/>
      <c r="I778" s="1"/>
      <c r="J778" s="1"/>
      <c r="K778" s="1"/>
    </row>
    <row r="779" spans="1:11" s="144" customFormat="1" ht="13.5">
      <c r="A779" s="1"/>
      <c r="B779" s="68"/>
      <c r="C779" s="1"/>
      <c r="D779" s="1"/>
      <c r="E779" s="3"/>
      <c r="G779" s="63"/>
      <c r="H779" s="63"/>
      <c r="I779" s="1"/>
      <c r="J779" s="1"/>
      <c r="K779" s="1"/>
    </row>
    <row r="780" spans="1:11" s="144" customFormat="1" ht="13.5">
      <c r="A780" s="1"/>
      <c r="B780" s="68"/>
      <c r="C780" s="1"/>
      <c r="D780" s="1"/>
      <c r="E780" s="3"/>
      <c r="G780" s="63"/>
      <c r="H780" s="63"/>
      <c r="I780" s="1"/>
      <c r="J780" s="1"/>
      <c r="K780" s="1"/>
    </row>
    <row r="781" spans="1:11" s="144" customFormat="1" ht="13.5">
      <c r="A781" s="1"/>
      <c r="B781" s="68"/>
      <c r="C781" s="1"/>
      <c r="D781" s="1"/>
      <c r="E781" s="3"/>
      <c r="G781" s="63"/>
      <c r="H781" s="63"/>
      <c r="I781" s="1"/>
      <c r="J781" s="1"/>
      <c r="K781" s="1"/>
    </row>
    <row r="782" spans="1:11" s="144" customFormat="1" ht="13.5">
      <c r="A782" s="1"/>
      <c r="B782" s="68"/>
      <c r="C782" s="1"/>
      <c r="D782" s="1"/>
      <c r="E782" s="3"/>
      <c r="G782" s="63"/>
      <c r="H782" s="63"/>
      <c r="I782" s="1"/>
      <c r="J782" s="1"/>
      <c r="K782" s="1"/>
    </row>
    <row r="783" spans="1:11" s="144" customFormat="1" ht="13.5">
      <c r="A783" s="1"/>
      <c r="B783" s="68"/>
      <c r="C783" s="1"/>
      <c r="D783" s="1"/>
      <c r="E783" s="3"/>
      <c r="G783" s="63"/>
      <c r="H783" s="63"/>
      <c r="I783" s="1"/>
      <c r="J783" s="1"/>
      <c r="K783" s="1"/>
    </row>
    <row r="784" spans="1:11" s="144" customFormat="1" ht="13.5">
      <c r="A784" s="1"/>
      <c r="B784" s="68"/>
      <c r="C784" s="1"/>
      <c r="D784" s="1"/>
      <c r="E784" s="3"/>
      <c r="G784" s="63"/>
      <c r="H784" s="63"/>
      <c r="I784" s="1"/>
      <c r="J784" s="1"/>
      <c r="K784" s="1"/>
    </row>
    <row r="785" spans="1:11" s="144" customFormat="1" ht="13.5">
      <c r="A785" s="1"/>
      <c r="B785" s="68"/>
      <c r="C785" s="1"/>
      <c r="D785" s="1"/>
      <c r="E785" s="3"/>
      <c r="G785" s="63"/>
      <c r="H785" s="63"/>
      <c r="I785" s="1"/>
      <c r="J785" s="1"/>
      <c r="K785" s="1"/>
    </row>
    <row r="786" spans="1:11" s="144" customFormat="1" ht="13.5">
      <c r="A786" s="1"/>
      <c r="B786" s="68"/>
      <c r="C786" s="1"/>
      <c r="D786" s="1"/>
      <c r="E786" s="3"/>
      <c r="G786" s="63"/>
      <c r="H786" s="63"/>
      <c r="I786" s="1"/>
      <c r="J786" s="1"/>
      <c r="K786" s="1"/>
    </row>
    <row r="787" spans="1:11" s="144" customFormat="1" ht="13.5">
      <c r="A787" s="1"/>
      <c r="B787" s="68"/>
      <c r="C787" s="1"/>
      <c r="D787" s="1"/>
      <c r="E787" s="3"/>
      <c r="G787" s="63"/>
      <c r="H787" s="63"/>
      <c r="I787" s="1"/>
      <c r="J787" s="1"/>
      <c r="K787" s="1"/>
    </row>
    <row r="788" spans="1:11" s="144" customFormat="1" ht="13.5">
      <c r="A788" s="1"/>
      <c r="B788" s="68"/>
      <c r="C788" s="1"/>
      <c r="D788" s="1"/>
      <c r="E788" s="3"/>
      <c r="G788" s="63"/>
      <c r="H788" s="63"/>
      <c r="I788" s="1"/>
      <c r="J788" s="1"/>
      <c r="K788" s="1"/>
    </row>
    <row r="789" spans="1:11" s="144" customFormat="1" ht="13.5">
      <c r="A789" s="1"/>
      <c r="B789" s="68"/>
      <c r="C789" s="1"/>
      <c r="D789" s="1"/>
      <c r="E789" s="3"/>
      <c r="G789" s="63"/>
      <c r="H789" s="63"/>
      <c r="I789" s="1"/>
      <c r="J789" s="1"/>
      <c r="K789" s="1"/>
    </row>
    <row r="790" spans="1:11" s="144" customFormat="1" ht="13.5">
      <c r="A790" s="1"/>
      <c r="B790" s="68"/>
      <c r="C790" s="1"/>
      <c r="D790" s="1"/>
      <c r="E790" s="3"/>
      <c r="G790" s="63"/>
      <c r="H790" s="63"/>
      <c r="I790" s="1"/>
      <c r="J790" s="1"/>
      <c r="K790" s="1"/>
    </row>
    <row r="791" spans="1:11" s="144" customFormat="1" ht="13.5">
      <c r="A791" s="1"/>
      <c r="B791" s="68"/>
      <c r="C791" s="1"/>
      <c r="D791" s="1"/>
      <c r="E791" s="3"/>
      <c r="G791" s="63"/>
      <c r="H791" s="63"/>
      <c r="I791" s="1"/>
      <c r="J791" s="1"/>
      <c r="K791" s="1"/>
    </row>
    <row r="792" spans="1:11" s="144" customFormat="1" ht="13.5">
      <c r="A792" s="1"/>
      <c r="B792" s="68"/>
      <c r="C792" s="1"/>
      <c r="D792" s="1"/>
      <c r="E792" s="3"/>
      <c r="G792" s="63"/>
      <c r="H792" s="63"/>
      <c r="I792" s="1"/>
      <c r="J792" s="1"/>
      <c r="K792" s="1"/>
    </row>
    <row r="793" spans="1:11" s="144" customFormat="1" ht="13.5">
      <c r="A793" s="1"/>
      <c r="B793" s="68"/>
      <c r="C793" s="1"/>
      <c r="D793" s="1"/>
      <c r="E793" s="3"/>
      <c r="G793" s="63"/>
      <c r="H793" s="63"/>
      <c r="I793" s="1"/>
      <c r="J793" s="1"/>
      <c r="K793" s="1"/>
    </row>
    <row r="794" spans="1:11" s="144" customFormat="1" ht="13.5">
      <c r="A794" s="1"/>
      <c r="B794" s="68"/>
      <c r="C794" s="1"/>
      <c r="D794" s="1"/>
      <c r="E794" s="3"/>
      <c r="G794" s="63"/>
      <c r="H794" s="63"/>
      <c r="I794" s="1"/>
      <c r="J794" s="1"/>
      <c r="K794" s="1"/>
    </row>
    <row r="795" spans="1:11" s="144" customFormat="1" ht="13.5">
      <c r="A795" s="1"/>
      <c r="B795" s="68"/>
      <c r="C795" s="1"/>
      <c r="D795" s="1"/>
      <c r="E795" s="3"/>
      <c r="G795" s="63"/>
      <c r="H795" s="63"/>
      <c r="I795" s="1"/>
      <c r="J795" s="1"/>
      <c r="K795" s="1"/>
    </row>
    <row r="796" spans="1:11" s="144" customFormat="1" ht="13.5">
      <c r="A796" s="1"/>
      <c r="B796" s="68"/>
      <c r="C796" s="1"/>
      <c r="D796" s="1"/>
      <c r="E796" s="3"/>
      <c r="G796" s="63"/>
      <c r="H796" s="63"/>
      <c r="I796" s="1"/>
      <c r="J796" s="1"/>
      <c r="K796" s="1"/>
    </row>
    <row r="797" spans="1:11" s="144" customFormat="1" ht="13.5">
      <c r="A797" s="1"/>
      <c r="B797" s="68"/>
      <c r="C797" s="1"/>
      <c r="D797" s="1"/>
      <c r="E797" s="3"/>
      <c r="G797" s="63"/>
      <c r="H797" s="63"/>
      <c r="I797" s="1"/>
      <c r="J797" s="1"/>
      <c r="K797" s="1"/>
    </row>
    <row r="798" spans="1:11" s="144" customFormat="1" ht="13.5">
      <c r="A798" s="1"/>
      <c r="B798" s="68"/>
      <c r="C798" s="1"/>
      <c r="D798" s="1"/>
      <c r="E798" s="3"/>
      <c r="G798" s="63"/>
      <c r="H798" s="63"/>
      <c r="I798" s="1"/>
      <c r="J798" s="1"/>
      <c r="K798" s="1"/>
    </row>
    <row r="799" spans="1:11" s="144" customFormat="1" ht="13.5">
      <c r="A799" s="1"/>
      <c r="B799" s="68"/>
      <c r="C799" s="1"/>
      <c r="D799" s="1"/>
      <c r="E799" s="3"/>
      <c r="G799" s="63"/>
      <c r="H799" s="63"/>
      <c r="I799" s="1"/>
      <c r="J799" s="1"/>
      <c r="K799" s="1"/>
    </row>
    <row r="800" spans="1:11" s="144" customFormat="1" ht="13.5">
      <c r="A800" s="1"/>
      <c r="B800" s="68"/>
      <c r="C800" s="1"/>
      <c r="D800" s="1"/>
      <c r="E800" s="3"/>
      <c r="G800" s="63"/>
      <c r="H800" s="63"/>
      <c r="I800" s="1"/>
      <c r="J800" s="1"/>
      <c r="K800" s="1"/>
    </row>
    <row r="801" spans="1:11" s="144" customFormat="1" ht="13.5">
      <c r="A801" s="1"/>
      <c r="B801" s="68"/>
      <c r="C801" s="1"/>
      <c r="D801" s="1"/>
      <c r="E801" s="3"/>
      <c r="G801" s="63"/>
      <c r="H801" s="63"/>
      <c r="I801" s="1"/>
      <c r="J801" s="1"/>
      <c r="K801" s="1"/>
    </row>
    <row r="802" spans="1:11" s="144" customFormat="1" ht="13.5">
      <c r="A802" s="1"/>
      <c r="B802" s="68"/>
      <c r="C802" s="1"/>
      <c r="D802" s="1"/>
      <c r="E802" s="3"/>
      <c r="G802" s="63"/>
      <c r="H802" s="63"/>
      <c r="I802" s="1"/>
      <c r="J802" s="1"/>
      <c r="K802" s="1"/>
    </row>
    <row r="803" spans="1:11" s="144" customFormat="1" ht="13.5">
      <c r="A803" s="1"/>
      <c r="B803" s="68"/>
      <c r="C803" s="1"/>
      <c r="D803" s="1"/>
      <c r="E803" s="3"/>
      <c r="G803" s="63"/>
      <c r="H803" s="63"/>
      <c r="I803" s="1"/>
      <c r="J803" s="1"/>
      <c r="K803" s="1"/>
    </row>
    <row r="804" spans="1:11" s="144" customFormat="1" ht="13.5">
      <c r="A804" s="1"/>
      <c r="B804" s="68"/>
      <c r="C804" s="1"/>
      <c r="D804" s="1"/>
      <c r="E804" s="3"/>
      <c r="G804" s="63"/>
      <c r="H804" s="63"/>
      <c r="I804" s="1"/>
      <c r="J804" s="1"/>
      <c r="K804" s="1"/>
    </row>
    <row r="805" spans="1:11" s="144" customFormat="1" ht="13.5">
      <c r="A805" s="1"/>
      <c r="B805" s="68"/>
      <c r="C805" s="1"/>
      <c r="D805" s="1"/>
      <c r="E805" s="3"/>
      <c r="G805" s="63"/>
      <c r="H805" s="63"/>
      <c r="I805" s="1"/>
      <c r="J805" s="1"/>
      <c r="K805" s="1"/>
    </row>
    <row r="806" spans="1:11" s="144" customFormat="1" ht="13.5">
      <c r="A806" s="1"/>
      <c r="B806" s="68"/>
      <c r="C806" s="1"/>
      <c r="D806" s="1"/>
      <c r="E806" s="3"/>
      <c r="G806" s="63"/>
      <c r="H806" s="63"/>
      <c r="I806" s="1"/>
      <c r="J806" s="1"/>
      <c r="K806" s="1"/>
    </row>
    <row r="807" spans="1:11" s="144" customFormat="1" ht="13.5">
      <c r="A807" s="1"/>
      <c r="B807" s="68"/>
      <c r="C807" s="1"/>
      <c r="D807" s="1"/>
      <c r="E807" s="3"/>
      <c r="G807" s="63"/>
      <c r="H807" s="63"/>
      <c r="I807" s="1"/>
      <c r="J807" s="1"/>
      <c r="K807" s="1"/>
    </row>
    <row r="808" spans="1:11" s="144" customFormat="1" ht="13.5">
      <c r="A808" s="1"/>
      <c r="B808" s="68"/>
      <c r="C808" s="1"/>
      <c r="D808" s="1"/>
      <c r="E808" s="3"/>
      <c r="G808" s="63"/>
      <c r="H808" s="63"/>
      <c r="I808" s="1"/>
      <c r="J808" s="1"/>
      <c r="K808" s="1"/>
    </row>
    <row r="809" spans="1:11" s="144" customFormat="1" ht="13.5">
      <c r="A809" s="1"/>
      <c r="B809" s="68"/>
      <c r="C809" s="1"/>
      <c r="D809" s="1"/>
      <c r="E809" s="3"/>
      <c r="G809" s="63"/>
      <c r="H809" s="63"/>
      <c r="I809" s="1"/>
      <c r="J809" s="1"/>
      <c r="K809" s="1"/>
    </row>
    <row r="810" spans="1:11" s="144" customFormat="1" ht="13.5">
      <c r="A810" s="1"/>
      <c r="B810" s="68"/>
      <c r="C810" s="1"/>
      <c r="D810" s="1"/>
      <c r="E810" s="3"/>
      <c r="G810" s="63"/>
      <c r="H810" s="63"/>
      <c r="I810" s="1"/>
      <c r="J810" s="1"/>
      <c r="K810" s="1"/>
    </row>
    <row r="811" spans="1:11" s="144" customFormat="1" ht="13.5">
      <c r="A811" s="1"/>
      <c r="B811" s="68"/>
      <c r="C811" s="1"/>
      <c r="D811" s="1"/>
      <c r="E811" s="3"/>
      <c r="G811" s="63"/>
      <c r="H811" s="63"/>
      <c r="I811" s="1"/>
      <c r="J811" s="1"/>
      <c r="K811" s="1"/>
    </row>
    <row r="812" spans="1:11" s="144" customFormat="1" ht="13.5">
      <c r="A812" s="1"/>
      <c r="B812" s="68"/>
      <c r="C812" s="1"/>
      <c r="D812" s="1"/>
      <c r="E812" s="3"/>
      <c r="G812" s="63"/>
      <c r="H812" s="63"/>
      <c r="I812" s="1"/>
      <c r="J812" s="1"/>
      <c r="K812" s="1"/>
    </row>
    <row r="813" spans="1:11" s="144" customFormat="1" ht="13.5">
      <c r="A813" s="1"/>
      <c r="B813" s="68"/>
      <c r="C813" s="1"/>
      <c r="D813" s="1"/>
      <c r="E813" s="3"/>
      <c r="G813" s="63"/>
      <c r="H813" s="63"/>
      <c r="I813" s="1"/>
      <c r="J813" s="1"/>
      <c r="K813" s="1"/>
    </row>
    <row r="814" spans="1:11" s="144" customFormat="1" ht="13.5">
      <c r="A814" s="1"/>
      <c r="B814" s="68"/>
      <c r="C814" s="1"/>
      <c r="D814" s="1"/>
      <c r="E814" s="3"/>
      <c r="G814" s="63"/>
      <c r="H814" s="63"/>
      <c r="I814" s="1"/>
      <c r="J814" s="1"/>
      <c r="K814" s="1"/>
    </row>
    <row r="815" spans="1:11" s="144" customFormat="1" ht="13.5">
      <c r="A815" s="1"/>
      <c r="B815" s="68"/>
      <c r="C815" s="1"/>
      <c r="D815" s="1"/>
      <c r="E815" s="3"/>
      <c r="G815" s="63"/>
      <c r="H815" s="63"/>
      <c r="I815" s="1"/>
      <c r="J815" s="1"/>
      <c r="K815" s="1"/>
    </row>
    <row r="816" spans="1:11" s="144" customFormat="1" ht="13.5">
      <c r="A816" s="1"/>
      <c r="B816" s="68"/>
      <c r="C816" s="1"/>
      <c r="D816" s="1"/>
      <c r="E816" s="3"/>
      <c r="G816" s="63"/>
      <c r="H816" s="63"/>
      <c r="I816" s="1"/>
      <c r="J816" s="1"/>
      <c r="K816" s="1"/>
    </row>
    <row r="817" spans="1:11" s="144" customFormat="1" ht="13.5">
      <c r="A817" s="1"/>
      <c r="B817" s="68"/>
      <c r="C817" s="1"/>
      <c r="D817" s="1"/>
      <c r="E817" s="3"/>
      <c r="G817" s="63"/>
      <c r="H817" s="63"/>
      <c r="I817" s="1"/>
      <c r="J817" s="1"/>
      <c r="K817" s="1"/>
    </row>
    <row r="818" spans="1:11" s="144" customFormat="1" ht="13.5">
      <c r="A818" s="1"/>
      <c r="B818" s="68"/>
      <c r="C818" s="1"/>
      <c r="D818" s="1"/>
      <c r="E818" s="3"/>
      <c r="G818" s="63"/>
      <c r="H818" s="63"/>
      <c r="I818" s="1"/>
      <c r="J818" s="1"/>
      <c r="K818" s="1"/>
    </row>
    <row r="819" spans="1:11" s="144" customFormat="1" ht="13.5">
      <c r="A819" s="1"/>
      <c r="B819" s="68"/>
      <c r="C819" s="1"/>
      <c r="D819" s="1"/>
      <c r="E819" s="3"/>
      <c r="G819" s="63"/>
      <c r="H819" s="63"/>
      <c r="I819" s="1"/>
      <c r="J819" s="1"/>
      <c r="K819" s="1"/>
    </row>
    <row r="820" spans="1:11" s="144" customFormat="1" ht="13.5">
      <c r="A820" s="1"/>
      <c r="B820" s="68"/>
      <c r="C820" s="1"/>
      <c r="D820" s="1"/>
      <c r="E820" s="3"/>
      <c r="G820" s="63"/>
      <c r="H820" s="63"/>
      <c r="I820" s="1"/>
      <c r="J820" s="1"/>
      <c r="K820" s="1"/>
    </row>
    <row r="821" spans="1:11" s="144" customFormat="1" ht="13.5">
      <c r="A821" s="1"/>
      <c r="B821" s="68"/>
      <c r="C821" s="1"/>
      <c r="D821" s="1"/>
      <c r="E821" s="3"/>
      <c r="G821" s="63"/>
      <c r="H821" s="63"/>
      <c r="I821" s="1"/>
      <c r="J821" s="1"/>
      <c r="K821" s="1"/>
    </row>
    <row r="822" spans="1:11" s="144" customFormat="1" ht="13.5">
      <c r="A822" s="1"/>
      <c r="B822" s="68"/>
      <c r="C822" s="1"/>
      <c r="D822" s="1"/>
      <c r="E822" s="3"/>
      <c r="G822" s="63"/>
      <c r="H822" s="63"/>
      <c r="I822" s="1"/>
      <c r="J822" s="1"/>
      <c r="K822" s="1"/>
    </row>
    <row r="823" spans="1:11" s="144" customFormat="1" ht="13.5">
      <c r="A823" s="1"/>
      <c r="B823" s="68"/>
      <c r="C823" s="1"/>
      <c r="D823" s="1"/>
      <c r="E823" s="3"/>
      <c r="G823" s="63"/>
      <c r="H823" s="63"/>
      <c r="I823" s="1"/>
      <c r="J823" s="1"/>
      <c r="K823" s="1"/>
    </row>
    <row r="824" spans="1:11" s="144" customFormat="1" ht="13.5">
      <c r="A824" s="1"/>
      <c r="B824" s="68"/>
      <c r="C824" s="1"/>
      <c r="D824" s="1"/>
      <c r="E824" s="3"/>
      <c r="G824" s="63"/>
      <c r="H824" s="63"/>
      <c r="I824" s="1"/>
      <c r="J824" s="1"/>
      <c r="K824" s="1"/>
    </row>
    <row r="825" spans="1:11" s="144" customFormat="1" ht="13.5">
      <c r="A825" s="1"/>
      <c r="B825" s="68"/>
      <c r="C825" s="1"/>
      <c r="D825" s="1"/>
      <c r="E825" s="3"/>
      <c r="G825" s="63"/>
      <c r="H825" s="63"/>
      <c r="I825" s="1"/>
      <c r="J825" s="1"/>
      <c r="K825" s="1"/>
    </row>
    <row r="826" spans="1:11" s="144" customFormat="1" ht="13.5">
      <c r="A826" s="1"/>
      <c r="B826" s="68"/>
      <c r="C826" s="1"/>
      <c r="D826" s="1"/>
      <c r="E826" s="3"/>
      <c r="G826" s="63"/>
      <c r="H826" s="63"/>
      <c r="I826" s="1"/>
      <c r="J826" s="1"/>
      <c r="K826" s="1"/>
    </row>
    <row r="827" spans="1:11" s="144" customFormat="1" ht="13.5">
      <c r="A827" s="1"/>
      <c r="B827" s="68"/>
      <c r="C827" s="1"/>
      <c r="D827" s="1"/>
      <c r="E827" s="3"/>
      <c r="G827" s="63"/>
      <c r="H827" s="63"/>
      <c r="I827" s="1"/>
      <c r="J827" s="1"/>
      <c r="K827" s="1"/>
    </row>
    <row r="828" spans="1:11" s="144" customFormat="1" ht="13.5">
      <c r="A828" s="1"/>
      <c r="B828" s="68"/>
      <c r="C828" s="1"/>
      <c r="D828" s="1"/>
      <c r="E828" s="3"/>
      <c r="G828" s="63"/>
      <c r="H828" s="63"/>
      <c r="I828" s="1"/>
      <c r="J828" s="1"/>
      <c r="K828" s="1"/>
    </row>
    <row r="829" spans="1:11" s="144" customFormat="1" ht="13.5">
      <c r="A829" s="1"/>
      <c r="B829" s="68"/>
      <c r="C829" s="1"/>
      <c r="D829" s="1"/>
      <c r="E829" s="3"/>
      <c r="G829" s="63"/>
      <c r="H829" s="63"/>
      <c r="I829" s="1"/>
      <c r="J829" s="1"/>
      <c r="K829" s="1"/>
    </row>
    <row r="830" spans="1:11" s="144" customFormat="1" ht="13.5">
      <c r="A830" s="1"/>
      <c r="B830" s="68"/>
      <c r="C830" s="1"/>
      <c r="D830" s="1"/>
      <c r="E830" s="3"/>
      <c r="G830" s="63"/>
      <c r="H830" s="63"/>
      <c r="I830" s="1"/>
      <c r="J830" s="1"/>
      <c r="K830" s="1"/>
    </row>
    <row r="831" spans="1:11" s="144" customFormat="1" ht="13.5">
      <c r="A831" s="1"/>
      <c r="B831" s="68"/>
      <c r="C831" s="1"/>
      <c r="D831" s="1"/>
      <c r="E831" s="3"/>
      <c r="G831" s="63"/>
      <c r="H831" s="63"/>
      <c r="I831" s="1"/>
      <c r="J831" s="1"/>
      <c r="K831" s="1"/>
    </row>
    <row r="832" spans="1:11" s="144" customFormat="1" ht="13.5">
      <c r="A832" s="1"/>
      <c r="B832" s="68"/>
      <c r="C832" s="1"/>
      <c r="D832" s="1"/>
      <c r="E832" s="3"/>
      <c r="G832" s="63"/>
      <c r="H832" s="63"/>
      <c r="I832" s="1"/>
      <c r="J832" s="1"/>
      <c r="K832" s="1"/>
    </row>
    <row r="833" spans="1:11" s="144" customFormat="1" ht="13.5">
      <c r="A833" s="1"/>
      <c r="B833" s="68"/>
      <c r="C833" s="1"/>
      <c r="D833" s="1"/>
      <c r="E833" s="3"/>
      <c r="G833" s="63"/>
      <c r="H833" s="63"/>
      <c r="I833" s="1"/>
      <c r="J833" s="1"/>
      <c r="K833" s="1"/>
    </row>
    <row r="834" spans="1:11" s="144" customFormat="1" ht="13.5">
      <c r="A834" s="1"/>
      <c r="B834" s="68"/>
      <c r="C834" s="1"/>
      <c r="D834" s="1"/>
      <c r="E834" s="3"/>
      <c r="G834" s="63"/>
      <c r="H834" s="63"/>
      <c r="I834" s="1"/>
      <c r="J834" s="1"/>
      <c r="K834" s="1"/>
    </row>
    <row r="835" spans="1:11" s="144" customFormat="1" ht="13.5">
      <c r="A835" s="1"/>
      <c r="B835" s="68"/>
      <c r="C835" s="1"/>
      <c r="D835" s="1"/>
      <c r="E835" s="3"/>
      <c r="G835" s="63"/>
      <c r="H835" s="63"/>
      <c r="I835" s="1"/>
      <c r="J835" s="1"/>
      <c r="K835" s="1"/>
    </row>
    <row r="836" spans="1:11" s="144" customFormat="1" ht="13.5">
      <c r="A836" s="1"/>
      <c r="B836" s="68"/>
      <c r="C836" s="1"/>
      <c r="D836" s="1"/>
      <c r="E836" s="3"/>
      <c r="G836" s="63"/>
      <c r="H836" s="63"/>
      <c r="I836" s="1"/>
      <c r="J836" s="1"/>
      <c r="K836" s="1"/>
    </row>
    <row r="837" spans="1:11" s="144" customFormat="1" ht="13.5">
      <c r="A837" s="1"/>
      <c r="B837" s="68"/>
      <c r="C837" s="1"/>
      <c r="D837" s="1"/>
      <c r="E837" s="3"/>
      <c r="G837" s="63"/>
      <c r="H837" s="63"/>
      <c r="I837" s="1"/>
      <c r="J837" s="1"/>
      <c r="K837" s="1"/>
    </row>
    <row r="838" spans="1:11" s="144" customFormat="1" ht="13.5">
      <c r="A838" s="1"/>
      <c r="B838" s="68"/>
      <c r="C838" s="1"/>
      <c r="D838" s="1"/>
      <c r="E838" s="3"/>
      <c r="G838" s="63"/>
      <c r="H838" s="63"/>
      <c r="I838" s="1"/>
      <c r="J838" s="1"/>
      <c r="K838" s="1"/>
    </row>
    <row r="839" spans="1:11" s="144" customFormat="1" ht="13.5">
      <c r="A839" s="1"/>
      <c r="B839" s="68"/>
      <c r="C839" s="1"/>
      <c r="D839" s="1"/>
      <c r="E839" s="3"/>
      <c r="G839" s="63"/>
      <c r="H839" s="63"/>
      <c r="I839" s="1"/>
      <c r="J839" s="1"/>
      <c r="K839" s="1"/>
    </row>
    <row r="840" spans="1:11" s="144" customFormat="1" ht="13.5">
      <c r="A840" s="1"/>
      <c r="B840" s="68"/>
      <c r="C840" s="1"/>
      <c r="D840" s="1"/>
      <c r="E840" s="3"/>
      <c r="G840" s="63"/>
      <c r="H840" s="63"/>
      <c r="I840" s="1"/>
      <c r="J840" s="1"/>
      <c r="K840" s="1"/>
    </row>
    <row r="841" spans="1:11" s="144" customFormat="1" ht="13.5">
      <c r="A841" s="1"/>
      <c r="B841" s="68"/>
      <c r="C841" s="1"/>
      <c r="D841" s="1"/>
      <c r="E841" s="3"/>
      <c r="G841" s="63"/>
      <c r="H841" s="63"/>
      <c r="I841" s="1"/>
      <c r="J841" s="1"/>
      <c r="K841" s="1"/>
    </row>
    <row r="842" spans="1:11" s="144" customFormat="1" ht="13.5">
      <c r="A842" s="1"/>
      <c r="B842" s="68"/>
      <c r="C842" s="1"/>
      <c r="D842" s="1"/>
      <c r="E842" s="3"/>
      <c r="G842" s="63"/>
      <c r="H842" s="63"/>
      <c r="I842" s="1"/>
      <c r="J842" s="1"/>
      <c r="K842" s="1"/>
    </row>
    <row r="843" spans="1:11" s="144" customFormat="1" ht="13.5">
      <c r="A843" s="1"/>
      <c r="B843" s="68"/>
      <c r="C843" s="1"/>
      <c r="D843" s="1"/>
      <c r="E843" s="3"/>
      <c r="G843" s="63"/>
      <c r="H843" s="63"/>
      <c r="I843" s="1"/>
      <c r="J843" s="1"/>
      <c r="K843" s="1"/>
    </row>
    <row r="844" spans="1:11" s="144" customFormat="1" ht="13.5">
      <c r="A844" s="1"/>
      <c r="B844" s="68"/>
      <c r="C844" s="1"/>
      <c r="D844" s="1"/>
      <c r="E844" s="3"/>
      <c r="G844" s="63"/>
      <c r="H844" s="63"/>
      <c r="I844" s="1"/>
      <c r="J844" s="1"/>
      <c r="K844" s="1"/>
    </row>
    <row r="845" spans="1:11" s="144" customFormat="1" ht="13.5">
      <c r="A845" s="1"/>
      <c r="B845" s="68"/>
      <c r="C845" s="1"/>
      <c r="D845" s="1"/>
      <c r="E845" s="3"/>
      <c r="G845" s="63"/>
      <c r="H845" s="63"/>
      <c r="I845" s="1"/>
      <c r="J845" s="1"/>
      <c r="K845" s="1"/>
    </row>
    <row r="846" spans="1:11" s="144" customFormat="1" ht="13.5">
      <c r="A846" s="1"/>
      <c r="B846" s="68"/>
      <c r="C846" s="1"/>
      <c r="D846" s="1"/>
      <c r="E846" s="3"/>
      <c r="G846" s="63"/>
      <c r="H846" s="63"/>
      <c r="I846" s="1"/>
      <c r="J846" s="1"/>
      <c r="K846" s="1"/>
    </row>
    <row r="847" spans="1:11" s="144" customFormat="1" ht="13.5">
      <c r="A847" s="1"/>
      <c r="B847" s="68"/>
      <c r="C847" s="1"/>
      <c r="D847" s="1"/>
      <c r="E847" s="3"/>
      <c r="G847" s="63"/>
      <c r="H847" s="63"/>
      <c r="I847" s="1"/>
      <c r="J847" s="1"/>
      <c r="K847" s="1"/>
    </row>
    <row r="848" spans="1:11" s="144" customFormat="1" ht="13.5">
      <c r="A848" s="1"/>
      <c r="B848" s="68"/>
      <c r="C848" s="1"/>
      <c r="D848" s="1"/>
      <c r="E848" s="3"/>
      <c r="G848" s="63"/>
      <c r="H848" s="63"/>
      <c r="I848" s="1"/>
      <c r="J848" s="1"/>
      <c r="K848" s="1"/>
    </row>
    <row r="849" spans="1:11" s="144" customFormat="1" ht="13.5">
      <c r="A849" s="1"/>
      <c r="B849" s="68"/>
      <c r="C849" s="1"/>
      <c r="D849" s="1"/>
      <c r="E849" s="3"/>
      <c r="G849" s="63"/>
      <c r="H849" s="63"/>
      <c r="I849" s="1"/>
      <c r="J849" s="1"/>
      <c r="K849" s="1"/>
    </row>
    <row r="850" spans="1:11" s="144" customFormat="1" ht="13.5">
      <c r="A850" s="1"/>
      <c r="B850" s="68"/>
      <c r="C850" s="1"/>
      <c r="D850" s="1"/>
      <c r="E850" s="3"/>
      <c r="G850" s="63"/>
      <c r="H850" s="63"/>
      <c r="I850" s="1"/>
      <c r="J850" s="1"/>
      <c r="K850" s="1"/>
    </row>
    <row r="851" spans="1:11" s="144" customFormat="1" ht="13.5">
      <c r="A851" s="1"/>
      <c r="B851" s="68"/>
      <c r="C851" s="1"/>
      <c r="D851" s="1"/>
      <c r="E851" s="3"/>
      <c r="G851" s="63"/>
      <c r="H851" s="63"/>
      <c r="I851" s="1"/>
      <c r="J851" s="1"/>
      <c r="K851" s="1"/>
    </row>
    <row r="852" spans="1:11" s="144" customFormat="1" ht="13.5">
      <c r="A852" s="1"/>
      <c r="B852" s="68"/>
      <c r="C852" s="1"/>
      <c r="D852" s="1"/>
      <c r="E852" s="3"/>
      <c r="G852" s="63"/>
      <c r="H852" s="63"/>
      <c r="I852" s="1"/>
      <c r="J852" s="1"/>
      <c r="K852" s="1"/>
    </row>
    <row r="853" spans="1:11" s="144" customFormat="1" ht="13.5">
      <c r="A853" s="1"/>
      <c r="B853" s="68"/>
      <c r="C853" s="1"/>
      <c r="D853" s="1"/>
      <c r="E853" s="3"/>
      <c r="G853" s="63"/>
      <c r="H853" s="63"/>
      <c r="I853" s="1"/>
      <c r="J853" s="1"/>
      <c r="K853" s="1"/>
    </row>
    <row r="854" spans="1:11" s="144" customFormat="1" ht="13.5">
      <c r="A854" s="1"/>
      <c r="B854" s="68"/>
      <c r="C854" s="1"/>
      <c r="D854" s="1"/>
      <c r="E854" s="3"/>
      <c r="G854" s="63"/>
      <c r="H854" s="63"/>
      <c r="I854" s="1"/>
      <c r="J854" s="1"/>
      <c r="K854" s="1"/>
    </row>
    <row r="855" spans="1:11" s="144" customFormat="1" ht="13.5">
      <c r="A855" s="1"/>
      <c r="B855" s="68"/>
      <c r="C855" s="1"/>
      <c r="D855" s="1"/>
      <c r="E855" s="3"/>
      <c r="G855" s="63"/>
      <c r="H855" s="63"/>
      <c r="I855" s="1"/>
      <c r="J855" s="1"/>
      <c r="K855" s="1"/>
    </row>
    <row r="856" spans="1:11" s="144" customFormat="1" ht="13.5">
      <c r="A856" s="1"/>
      <c r="B856" s="68"/>
      <c r="C856" s="1"/>
      <c r="D856" s="1"/>
      <c r="E856" s="3"/>
      <c r="G856" s="63"/>
      <c r="H856" s="63"/>
      <c r="I856" s="1"/>
      <c r="J856" s="1"/>
      <c r="K856" s="1"/>
    </row>
    <row r="857" spans="1:11" s="144" customFormat="1" ht="13.5">
      <c r="A857" s="1"/>
      <c r="B857" s="68"/>
      <c r="C857" s="1"/>
      <c r="D857" s="1"/>
      <c r="E857" s="3"/>
      <c r="G857" s="63"/>
      <c r="H857" s="63"/>
      <c r="I857" s="1"/>
      <c r="J857" s="1"/>
      <c r="K857" s="1"/>
    </row>
    <row r="858" spans="1:11" s="144" customFormat="1" ht="13.5">
      <c r="A858" s="1"/>
      <c r="B858" s="68"/>
      <c r="C858" s="1"/>
      <c r="D858" s="1"/>
      <c r="E858" s="3"/>
      <c r="G858" s="63"/>
      <c r="H858" s="63"/>
      <c r="I858" s="1"/>
      <c r="J858" s="1"/>
      <c r="K858" s="1"/>
    </row>
    <row r="859" spans="1:11" s="144" customFormat="1" ht="13.5">
      <c r="A859" s="1"/>
      <c r="B859" s="68"/>
      <c r="C859" s="1"/>
      <c r="D859" s="1"/>
      <c r="E859" s="3"/>
      <c r="G859" s="63"/>
      <c r="H859" s="63"/>
      <c r="I859" s="1"/>
      <c r="J859" s="1"/>
      <c r="K859" s="1"/>
    </row>
    <row r="860" spans="1:11" s="144" customFormat="1" ht="13.5">
      <c r="A860" s="1"/>
      <c r="B860" s="68"/>
      <c r="C860" s="1"/>
      <c r="D860" s="1"/>
      <c r="E860" s="3"/>
      <c r="G860" s="63"/>
      <c r="H860" s="63"/>
      <c r="I860" s="1"/>
      <c r="J860" s="1"/>
      <c r="K860" s="1"/>
    </row>
    <row r="861" spans="1:11" s="144" customFormat="1" ht="13.5">
      <c r="A861" s="1"/>
      <c r="B861" s="68"/>
      <c r="C861" s="1"/>
      <c r="D861" s="1"/>
      <c r="E861" s="3"/>
      <c r="G861" s="63"/>
      <c r="H861" s="63"/>
      <c r="I861" s="1"/>
      <c r="J861" s="1"/>
      <c r="K861" s="1"/>
    </row>
    <row r="862" spans="1:11" s="144" customFormat="1" ht="13.5">
      <c r="A862" s="1"/>
      <c r="B862" s="68"/>
      <c r="C862" s="1"/>
      <c r="D862" s="1"/>
      <c r="E862" s="3"/>
      <c r="G862" s="63"/>
      <c r="H862" s="63"/>
      <c r="I862" s="1"/>
      <c r="J862" s="1"/>
      <c r="K862" s="1"/>
    </row>
    <row r="863" spans="1:11" s="144" customFormat="1" ht="13.5">
      <c r="A863" s="1"/>
      <c r="B863" s="68"/>
      <c r="C863" s="1"/>
      <c r="D863" s="1"/>
      <c r="E863" s="3"/>
      <c r="G863" s="63"/>
      <c r="H863" s="63"/>
      <c r="I863" s="1"/>
      <c r="J863" s="1"/>
      <c r="K863" s="1"/>
    </row>
    <row r="864" spans="1:11" s="144" customFormat="1" ht="13.5">
      <c r="A864" s="1"/>
      <c r="B864" s="68"/>
      <c r="C864" s="1"/>
      <c r="D864" s="1"/>
      <c r="E864" s="3"/>
      <c r="G864" s="63"/>
      <c r="H864" s="63"/>
      <c r="I864" s="1"/>
      <c r="J864" s="1"/>
      <c r="K864" s="1"/>
    </row>
    <row r="865" spans="1:11" s="144" customFormat="1" ht="13.5">
      <c r="A865" s="1"/>
      <c r="B865" s="68"/>
      <c r="C865" s="1"/>
      <c r="D865" s="1"/>
      <c r="E865" s="3"/>
      <c r="G865" s="63"/>
      <c r="H865" s="63"/>
      <c r="I865" s="1"/>
      <c r="J865" s="1"/>
      <c r="K865" s="1"/>
    </row>
    <row r="866" spans="1:11" s="144" customFormat="1" ht="13.5">
      <c r="A866" s="1"/>
      <c r="B866" s="68"/>
      <c r="C866" s="1"/>
      <c r="D866" s="1"/>
      <c r="E866" s="3"/>
      <c r="G866" s="63"/>
      <c r="H866" s="63"/>
      <c r="I866" s="1"/>
      <c r="J866" s="1"/>
      <c r="K866" s="1"/>
    </row>
    <row r="867" spans="1:11" s="144" customFormat="1" ht="13.5">
      <c r="A867" s="1"/>
      <c r="B867" s="68"/>
      <c r="C867" s="1"/>
      <c r="D867" s="1"/>
      <c r="E867" s="3"/>
      <c r="G867" s="63"/>
      <c r="H867" s="63"/>
      <c r="I867" s="1"/>
      <c r="J867" s="1"/>
      <c r="K867" s="1"/>
    </row>
    <row r="868" spans="1:11" s="144" customFormat="1" ht="13.5">
      <c r="A868" s="1"/>
      <c r="B868" s="68"/>
      <c r="C868" s="1"/>
      <c r="D868" s="1"/>
      <c r="E868" s="3"/>
      <c r="G868" s="63"/>
      <c r="H868" s="63"/>
      <c r="I868" s="1"/>
      <c r="J868" s="1"/>
      <c r="K868" s="1"/>
    </row>
    <row r="869" spans="1:11" s="144" customFormat="1" ht="13.5">
      <c r="A869" s="1"/>
      <c r="B869" s="68"/>
      <c r="C869" s="1"/>
      <c r="D869" s="1"/>
      <c r="E869" s="3"/>
      <c r="G869" s="63"/>
      <c r="H869" s="63"/>
      <c r="I869" s="1"/>
      <c r="J869" s="1"/>
      <c r="K869" s="1"/>
    </row>
    <row r="870" spans="1:11" s="144" customFormat="1" ht="13.5">
      <c r="A870" s="1"/>
      <c r="B870" s="68"/>
      <c r="C870" s="1"/>
      <c r="D870" s="1"/>
      <c r="E870" s="3"/>
      <c r="G870" s="63"/>
      <c r="H870" s="63"/>
      <c r="I870" s="1"/>
      <c r="J870" s="1"/>
      <c r="K870" s="1"/>
    </row>
    <row r="871" spans="1:11" s="144" customFormat="1" ht="13.5">
      <c r="A871" s="1"/>
      <c r="B871" s="68"/>
      <c r="C871" s="1"/>
      <c r="D871" s="1"/>
      <c r="E871" s="3"/>
      <c r="G871" s="63"/>
      <c r="H871" s="63"/>
      <c r="I871" s="1"/>
      <c r="J871" s="1"/>
      <c r="K871" s="1"/>
    </row>
    <row r="872" spans="1:11" s="144" customFormat="1" ht="13.5">
      <c r="A872" s="1"/>
      <c r="B872" s="68"/>
      <c r="C872" s="1"/>
      <c r="D872" s="1"/>
      <c r="E872" s="3"/>
      <c r="G872" s="63"/>
      <c r="H872" s="63"/>
      <c r="I872" s="1"/>
      <c r="J872" s="1"/>
      <c r="K872" s="1"/>
    </row>
    <row r="873" spans="1:11" s="144" customFormat="1" ht="13.5">
      <c r="A873" s="1"/>
      <c r="B873" s="68"/>
      <c r="C873" s="1"/>
      <c r="D873" s="1"/>
      <c r="E873" s="3"/>
      <c r="G873" s="63"/>
      <c r="H873" s="63"/>
      <c r="I873" s="1"/>
      <c r="J873" s="1"/>
      <c r="K873" s="1"/>
    </row>
    <row r="874" spans="1:11" s="144" customFormat="1" ht="13.5">
      <c r="A874" s="1"/>
      <c r="B874" s="68"/>
      <c r="C874" s="1"/>
      <c r="D874" s="1"/>
      <c r="E874" s="3"/>
      <c r="G874" s="63"/>
      <c r="H874" s="63"/>
      <c r="I874" s="1"/>
      <c r="J874" s="1"/>
      <c r="K874" s="1"/>
    </row>
    <row r="875" spans="1:11" s="144" customFormat="1" ht="13.5">
      <c r="A875" s="1"/>
      <c r="B875" s="68"/>
      <c r="C875" s="1"/>
      <c r="D875" s="1"/>
      <c r="E875" s="3"/>
      <c r="G875" s="63"/>
      <c r="H875" s="63"/>
      <c r="I875" s="1"/>
      <c r="J875" s="1"/>
      <c r="K875" s="1"/>
    </row>
    <row r="876" spans="1:11" s="144" customFormat="1" ht="13.5">
      <c r="A876" s="1"/>
      <c r="B876" s="68"/>
      <c r="C876" s="1"/>
      <c r="D876" s="1"/>
      <c r="E876" s="3"/>
      <c r="G876" s="63"/>
      <c r="H876" s="63"/>
      <c r="I876" s="1"/>
      <c r="J876" s="1"/>
      <c r="K876" s="1"/>
    </row>
    <row r="877" spans="1:11" s="144" customFormat="1" ht="13.5">
      <c r="A877" s="1"/>
      <c r="B877" s="68"/>
      <c r="C877" s="1"/>
      <c r="D877" s="1"/>
      <c r="E877" s="3"/>
      <c r="G877" s="63"/>
      <c r="H877" s="63"/>
      <c r="I877" s="1"/>
      <c r="J877" s="1"/>
      <c r="K877" s="1"/>
    </row>
    <row r="878" spans="1:11" s="144" customFormat="1" ht="13.5">
      <c r="A878" s="1"/>
      <c r="B878" s="68"/>
      <c r="C878" s="1"/>
      <c r="D878" s="1"/>
      <c r="E878" s="3"/>
      <c r="G878" s="63"/>
      <c r="H878" s="63"/>
      <c r="I878" s="1"/>
      <c r="J878" s="1"/>
      <c r="K878" s="1"/>
    </row>
    <row r="879" spans="1:11" s="144" customFormat="1" ht="13.5">
      <c r="A879" s="1"/>
      <c r="B879" s="68"/>
      <c r="C879" s="1"/>
      <c r="D879" s="1"/>
      <c r="E879" s="3"/>
      <c r="G879" s="63"/>
      <c r="H879" s="63"/>
      <c r="I879" s="1"/>
      <c r="J879" s="1"/>
      <c r="K879" s="1"/>
    </row>
    <row r="880" spans="1:11" s="144" customFormat="1" ht="13.5">
      <c r="A880" s="1"/>
      <c r="B880" s="68"/>
      <c r="C880" s="1"/>
      <c r="D880" s="1"/>
      <c r="E880" s="3"/>
      <c r="G880" s="63"/>
      <c r="H880" s="63"/>
      <c r="I880" s="1"/>
      <c r="J880" s="1"/>
      <c r="K880" s="1"/>
    </row>
    <row r="881" spans="1:11" s="144" customFormat="1" ht="13.5">
      <c r="A881" s="1"/>
      <c r="B881" s="68"/>
      <c r="C881" s="1"/>
      <c r="D881" s="1"/>
      <c r="E881" s="3"/>
      <c r="G881" s="63"/>
      <c r="H881" s="63"/>
      <c r="I881" s="1"/>
      <c r="J881" s="1"/>
      <c r="K881" s="1"/>
    </row>
    <row r="882" spans="1:11" s="144" customFormat="1" ht="13.5">
      <c r="A882" s="1"/>
      <c r="B882" s="68"/>
      <c r="C882" s="1"/>
      <c r="D882" s="1"/>
      <c r="E882" s="3"/>
      <c r="G882" s="63"/>
      <c r="H882" s="63"/>
      <c r="I882" s="1"/>
      <c r="J882" s="1"/>
      <c r="K882" s="1"/>
    </row>
    <row r="883" spans="1:11" s="144" customFormat="1" ht="13.5">
      <c r="A883" s="1"/>
      <c r="B883" s="68"/>
      <c r="C883" s="1"/>
      <c r="D883" s="1"/>
      <c r="E883" s="3"/>
      <c r="G883" s="63"/>
      <c r="H883" s="63"/>
      <c r="I883" s="1"/>
      <c r="J883" s="1"/>
      <c r="K883" s="1"/>
    </row>
    <row r="884" spans="1:11" s="144" customFormat="1" ht="13.5">
      <c r="A884" s="1"/>
      <c r="B884" s="68"/>
      <c r="C884" s="1"/>
      <c r="D884" s="1"/>
      <c r="E884" s="3"/>
      <c r="G884" s="63"/>
      <c r="H884" s="63"/>
      <c r="I884" s="1"/>
      <c r="J884" s="1"/>
      <c r="K884" s="1"/>
    </row>
    <row r="885" spans="1:11" s="144" customFormat="1" ht="13.5">
      <c r="A885" s="1"/>
      <c r="B885" s="68"/>
      <c r="C885" s="1"/>
      <c r="D885" s="1"/>
      <c r="E885" s="3"/>
      <c r="G885" s="63"/>
      <c r="H885" s="63"/>
      <c r="I885" s="1"/>
      <c r="J885" s="1"/>
      <c r="K885" s="1"/>
    </row>
    <row r="886" spans="1:11" s="144" customFormat="1" ht="13.5">
      <c r="A886" s="1"/>
      <c r="B886" s="68"/>
      <c r="C886" s="1"/>
      <c r="D886" s="1"/>
      <c r="E886" s="3"/>
      <c r="G886" s="63"/>
      <c r="H886" s="63"/>
      <c r="I886" s="1"/>
      <c r="J886" s="1"/>
      <c r="K886" s="1"/>
    </row>
    <row r="887" spans="1:11" s="144" customFormat="1" ht="13.5">
      <c r="A887" s="1"/>
      <c r="B887" s="68"/>
      <c r="C887" s="1"/>
      <c r="D887" s="1"/>
      <c r="E887" s="3"/>
      <c r="G887" s="63"/>
      <c r="H887" s="63"/>
      <c r="I887" s="1"/>
      <c r="J887" s="1"/>
      <c r="K887" s="1"/>
    </row>
    <row r="888" spans="1:11" s="144" customFormat="1" ht="13.5">
      <c r="A888" s="1"/>
      <c r="B888" s="68"/>
      <c r="C888" s="1"/>
      <c r="D888" s="1"/>
      <c r="E888" s="3"/>
      <c r="G888" s="63"/>
      <c r="H888" s="63"/>
      <c r="I888" s="1"/>
      <c r="J888" s="1"/>
      <c r="K888" s="1"/>
    </row>
    <row r="889" spans="1:11" s="144" customFormat="1" ht="13.5">
      <c r="A889" s="1"/>
      <c r="B889" s="68"/>
      <c r="C889" s="1"/>
      <c r="D889" s="1"/>
      <c r="E889" s="3"/>
      <c r="G889" s="63"/>
      <c r="H889" s="63"/>
      <c r="I889" s="1"/>
      <c r="J889" s="1"/>
      <c r="K889" s="1"/>
    </row>
    <row r="890" spans="1:11" s="144" customFormat="1" ht="13.5">
      <c r="A890" s="1"/>
      <c r="B890" s="68"/>
      <c r="C890" s="1"/>
      <c r="D890" s="1"/>
      <c r="E890" s="3"/>
      <c r="G890" s="63"/>
      <c r="H890" s="63"/>
      <c r="I890" s="1"/>
      <c r="J890" s="1"/>
      <c r="K890" s="1"/>
    </row>
    <row r="891" spans="1:11" s="144" customFormat="1" ht="13.5">
      <c r="A891" s="1"/>
      <c r="B891" s="68"/>
      <c r="C891" s="1"/>
      <c r="D891" s="1"/>
      <c r="E891" s="3"/>
      <c r="G891" s="63"/>
      <c r="H891" s="63"/>
      <c r="I891" s="1"/>
      <c r="J891" s="1"/>
      <c r="K891" s="1"/>
    </row>
    <row r="892" spans="1:11" s="144" customFormat="1" ht="13.5">
      <c r="A892" s="1"/>
      <c r="B892" s="68"/>
      <c r="C892" s="1"/>
      <c r="D892" s="1"/>
      <c r="E892" s="3"/>
      <c r="G892" s="63"/>
      <c r="H892" s="63"/>
      <c r="I892" s="1"/>
      <c r="J892" s="1"/>
      <c r="K892" s="1"/>
    </row>
    <row r="893" spans="1:11" s="144" customFormat="1" ht="13.5">
      <c r="A893" s="1"/>
      <c r="B893" s="68"/>
      <c r="C893" s="1"/>
      <c r="D893" s="1"/>
      <c r="E893" s="3"/>
      <c r="G893" s="63"/>
      <c r="H893" s="63"/>
      <c r="I893" s="1"/>
      <c r="J893" s="1"/>
      <c r="K893" s="1"/>
    </row>
    <row r="894" spans="1:11" s="144" customFormat="1" ht="13.5">
      <c r="A894" s="1"/>
      <c r="B894" s="68"/>
      <c r="C894" s="1"/>
      <c r="D894" s="1"/>
      <c r="E894" s="3"/>
      <c r="G894" s="63"/>
      <c r="H894" s="63"/>
      <c r="I894" s="1"/>
      <c r="J894" s="1"/>
      <c r="K894" s="1"/>
    </row>
    <row r="895" spans="1:11" s="144" customFormat="1" ht="13.5">
      <c r="A895" s="1"/>
      <c r="B895" s="68"/>
      <c r="C895" s="1"/>
      <c r="D895" s="1"/>
      <c r="E895" s="3"/>
      <c r="G895" s="63"/>
      <c r="H895" s="63"/>
      <c r="I895" s="1"/>
      <c r="J895" s="1"/>
      <c r="K895" s="1"/>
    </row>
    <row r="896" spans="1:11" s="144" customFormat="1" ht="13.5">
      <c r="A896" s="1"/>
      <c r="B896" s="68"/>
      <c r="C896" s="1"/>
      <c r="D896" s="1"/>
      <c r="E896" s="3"/>
      <c r="G896" s="63"/>
      <c r="H896" s="63"/>
      <c r="I896" s="1"/>
      <c r="J896" s="1"/>
      <c r="K896" s="1"/>
    </row>
    <row r="897" spans="1:11" s="144" customFormat="1" ht="13.5">
      <c r="A897" s="1"/>
      <c r="B897" s="68"/>
      <c r="C897" s="1"/>
      <c r="D897" s="1"/>
      <c r="E897" s="3"/>
      <c r="G897" s="63"/>
      <c r="H897" s="63"/>
      <c r="I897" s="1"/>
      <c r="J897" s="1"/>
      <c r="K897" s="1"/>
    </row>
    <row r="898" spans="1:11" s="144" customFormat="1" ht="13.5">
      <c r="A898" s="1"/>
      <c r="B898" s="68"/>
      <c r="C898" s="1"/>
      <c r="D898" s="1"/>
      <c r="E898" s="3"/>
      <c r="G898" s="63"/>
      <c r="H898" s="63"/>
      <c r="I898" s="1"/>
      <c r="J898" s="1"/>
      <c r="K898" s="1"/>
    </row>
    <row r="899" spans="1:11" s="144" customFormat="1" ht="13.5">
      <c r="A899" s="1"/>
      <c r="B899" s="68"/>
      <c r="C899" s="1"/>
      <c r="D899" s="1"/>
      <c r="E899" s="3"/>
      <c r="G899" s="63"/>
      <c r="H899" s="63"/>
      <c r="I899" s="1"/>
      <c r="J899" s="1"/>
      <c r="K899" s="1"/>
    </row>
    <row r="900" spans="1:11" s="144" customFormat="1" ht="13.5">
      <c r="A900" s="1"/>
      <c r="B900" s="68"/>
      <c r="C900" s="1"/>
      <c r="D900" s="1"/>
      <c r="E900" s="3"/>
      <c r="G900" s="63"/>
      <c r="H900" s="63"/>
      <c r="I900" s="1"/>
      <c r="J900" s="1"/>
      <c r="K900" s="1"/>
    </row>
    <row r="901" spans="1:11" s="144" customFormat="1" ht="13.5">
      <c r="A901" s="1"/>
      <c r="B901" s="68"/>
      <c r="C901" s="1"/>
      <c r="D901" s="1"/>
      <c r="E901" s="3"/>
      <c r="G901" s="63"/>
      <c r="H901" s="63"/>
      <c r="I901" s="1"/>
      <c r="J901" s="1"/>
      <c r="K901" s="1"/>
    </row>
    <row r="902" spans="1:11" s="144" customFormat="1" ht="13.5">
      <c r="A902" s="1"/>
      <c r="B902" s="68"/>
      <c r="C902" s="1"/>
      <c r="D902" s="1"/>
      <c r="E902" s="3"/>
      <c r="G902" s="63"/>
      <c r="H902" s="63"/>
      <c r="I902" s="1"/>
      <c r="J902" s="1"/>
      <c r="K902" s="1"/>
    </row>
    <row r="903" spans="1:11" s="144" customFormat="1" ht="13.5">
      <c r="A903" s="1"/>
      <c r="B903" s="68"/>
      <c r="C903" s="1"/>
      <c r="D903" s="1"/>
      <c r="E903" s="3"/>
      <c r="G903" s="63"/>
      <c r="H903" s="63"/>
      <c r="I903" s="1"/>
      <c r="J903" s="1"/>
      <c r="K903" s="1"/>
    </row>
    <row r="904" spans="1:11" s="144" customFormat="1" ht="13.5">
      <c r="A904" s="1"/>
      <c r="B904" s="68"/>
      <c r="C904" s="1"/>
      <c r="D904" s="1"/>
      <c r="E904" s="3"/>
      <c r="G904" s="63"/>
      <c r="H904" s="63"/>
      <c r="I904" s="1"/>
      <c r="J904" s="1"/>
      <c r="K904" s="1"/>
    </row>
    <row r="905" spans="1:11" s="144" customFormat="1" ht="13.5">
      <c r="A905" s="1"/>
      <c r="B905" s="68"/>
      <c r="C905" s="1"/>
      <c r="D905" s="1"/>
      <c r="E905" s="3"/>
      <c r="G905" s="63"/>
      <c r="H905" s="63"/>
      <c r="I905" s="1"/>
      <c r="J905" s="1"/>
      <c r="K905" s="1"/>
    </row>
    <row r="906" spans="1:11" s="144" customFormat="1" ht="13.5">
      <c r="A906" s="1"/>
      <c r="B906" s="68"/>
      <c r="C906" s="1"/>
      <c r="D906" s="1"/>
      <c r="E906" s="3"/>
      <c r="G906" s="63"/>
      <c r="H906" s="63"/>
      <c r="I906" s="1"/>
      <c r="J906" s="1"/>
      <c r="K906" s="1"/>
    </row>
    <row r="907" spans="1:11" s="144" customFormat="1" ht="13.5">
      <c r="A907" s="1"/>
      <c r="B907" s="68"/>
      <c r="C907" s="1"/>
      <c r="D907" s="1"/>
      <c r="E907" s="3"/>
      <c r="G907" s="63"/>
      <c r="H907" s="63"/>
      <c r="I907" s="1"/>
      <c r="J907" s="1"/>
      <c r="K907" s="1"/>
    </row>
    <row r="908" spans="1:11" s="144" customFormat="1" ht="13.5">
      <c r="A908" s="1"/>
      <c r="B908" s="68"/>
      <c r="C908" s="1"/>
      <c r="D908" s="1"/>
      <c r="E908" s="3"/>
      <c r="G908" s="63"/>
      <c r="H908" s="63"/>
      <c r="I908" s="1"/>
      <c r="J908" s="1"/>
      <c r="K908" s="1"/>
    </row>
    <row r="909" spans="1:11" s="144" customFormat="1" ht="13.5">
      <c r="A909" s="1"/>
      <c r="B909" s="68"/>
      <c r="C909" s="1"/>
      <c r="D909" s="1"/>
      <c r="E909" s="3"/>
      <c r="G909" s="63"/>
      <c r="H909" s="63"/>
      <c r="I909" s="1"/>
      <c r="J909" s="1"/>
      <c r="K909" s="1"/>
    </row>
    <row r="910" spans="1:11" s="144" customFormat="1" ht="13.5">
      <c r="A910" s="1"/>
      <c r="B910" s="68"/>
      <c r="C910" s="1"/>
      <c r="D910" s="1"/>
      <c r="E910" s="3"/>
      <c r="G910" s="63"/>
      <c r="H910" s="63"/>
      <c r="I910" s="1"/>
      <c r="J910" s="1"/>
      <c r="K910" s="1"/>
    </row>
    <row r="911" spans="1:11" s="144" customFormat="1" ht="13.5">
      <c r="A911" s="1"/>
      <c r="B911" s="68"/>
      <c r="C911" s="1"/>
      <c r="D911" s="1"/>
      <c r="E911" s="3"/>
      <c r="G911" s="63"/>
      <c r="H911" s="63"/>
      <c r="I911" s="1"/>
      <c r="J911" s="1"/>
      <c r="K911" s="1"/>
    </row>
    <row r="912" spans="1:11" s="144" customFormat="1" ht="13.5">
      <c r="A912" s="1"/>
      <c r="B912" s="68"/>
      <c r="C912" s="1"/>
      <c r="D912" s="1"/>
      <c r="E912" s="3"/>
      <c r="G912" s="63"/>
      <c r="H912" s="63"/>
      <c r="I912" s="1"/>
      <c r="J912" s="1"/>
      <c r="K912" s="1"/>
    </row>
    <row r="913" spans="1:11" s="144" customFormat="1" ht="13.5">
      <c r="A913" s="1"/>
      <c r="B913" s="68"/>
      <c r="C913" s="1"/>
      <c r="D913" s="1"/>
      <c r="E913" s="3"/>
      <c r="G913" s="63"/>
      <c r="H913" s="63"/>
      <c r="I913" s="1"/>
      <c r="J913" s="1"/>
      <c r="K913" s="1"/>
    </row>
    <row r="914" spans="1:11" s="144" customFormat="1" ht="13.5">
      <c r="A914" s="1"/>
      <c r="B914" s="68"/>
      <c r="C914" s="1"/>
      <c r="D914" s="1"/>
      <c r="E914" s="3"/>
      <c r="G914" s="63"/>
      <c r="H914" s="63"/>
      <c r="I914" s="1"/>
      <c r="J914" s="1"/>
      <c r="K914" s="1"/>
    </row>
    <row r="915" spans="1:11" s="144" customFormat="1" ht="13.5">
      <c r="A915" s="1"/>
      <c r="B915" s="68"/>
      <c r="C915" s="1"/>
      <c r="D915" s="1"/>
      <c r="E915" s="3"/>
      <c r="G915" s="63"/>
      <c r="H915" s="63"/>
      <c r="I915" s="1"/>
      <c r="J915" s="1"/>
      <c r="K915" s="1"/>
    </row>
    <row r="916" spans="1:11" s="144" customFormat="1" ht="13.5">
      <c r="A916" s="1"/>
      <c r="B916" s="68"/>
      <c r="C916" s="1"/>
      <c r="D916" s="1"/>
      <c r="E916" s="3"/>
      <c r="G916" s="63"/>
      <c r="H916" s="63"/>
      <c r="I916" s="1"/>
      <c r="J916" s="1"/>
      <c r="K916" s="1"/>
    </row>
    <row r="917" spans="1:11" s="144" customFormat="1" ht="13.5">
      <c r="A917" s="1"/>
      <c r="B917" s="68"/>
      <c r="C917" s="1"/>
      <c r="D917" s="1"/>
      <c r="E917" s="3"/>
      <c r="G917" s="63"/>
      <c r="H917" s="63"/>
      <c r="I917" s="1"/>
      <c r="J917" s="1"/>
      <c r="K917" s="1"/>
    </row>
    <row r="918" spans="1:11" s="144" customFormat="1" ht="13.5">
      <c r="A918" s="1"/>
      <c r="B918" s="68"/>
      <c r="C918" s="1"/>
      <c r="D918" s="1"/>
      <c r="E918" s="3"/>
      <c r="G918" s="63"/>
      <c r="H918" s="63"/>
      <c r="I918" s="1"/>
      <c r="J918" s="1"/>
      <c r="K918" s="1"/>
    </row>
    <row r="919" spans="1:11" s="144" customFormat="1" ht="13.5">
      <c r="A919" s="1"/>
      <c r="B919" s="68"/>
      <c r="C919" s="1"/>
      <c r="D919" s="1"/>
      <c r="E919" s="3"/>
      <c r="G919" s="63"/>
      <c r="H919" s="63"/>
      <c r="I919" s="1"/>
      <c r="J919" s="1"/>
      <c r="K919" s="1"/>
    </row>
    <row r="920" spans="1:11" s="144" customFormat="1" ht="13.5">
      <c r="A920" s="1"/>
      <c r="B920" s="68"/>
      <c r="C920" s="1"/>
      <c r="D920" s="1"/>
      <c r="E920" s="3"/>
      <c r="G920" s="63"/>
      <c r="H920" s="63"/>
      <c r="I920" s="1"/>
      <c r="J920" s="1"/>
      <c r="K920" s="1"/>
    </row>
    <row r="921" spans="1:11" s="144" customFormat="1" ht="13.5">
      <c r="A921" s="1"/>
      <c r="B921" s="68"/>
      <c r="C921" s="1"/>
      <c r="D921" s="1"/>
      <c r="E921" s="3"/>
      <c r="G921" s="63"/>
      <c r="H921" s="63"/>
      <c r="I921" s="1"/>
      <c r="J921" s="1"/>
      <c r="K921" s="1"/>
    </row>
    <row r="922" spans="1:11" s="144" customFormat="1" ht="13.5">
      <c r="A922" s="1"/>
      <c r="B922" s="68"/>
      <c r="C922" s="1"/>
      <c r="D922" s="1"/>
      <c r="E922" s="3"/>
      <c r="G922" s="63"/>
      <c r="H922" s="63"/>
      <c r="I922" s="1"/>
      <c r="J922" s="1"/>
      <c r="K922" s="1"/>
    </row>
    <row r="923" spans="1:11" s="144" customFormat="1" ht="13.5">
      <c r="A923" s="1"/>
      <c r="B923" s="68"/>
      <c r="C923" s="1"/>
      <c r="D923" s="1"/>
      <c r="E923" s="3"/>
      <c r="G923" s="63"/>
      <c r="H923" s="63"/>
      <c r="I923" s="1"/>
      <c r="J923" s="1"/>
      <c r="K923" s="1"/>
    </row>
    <row r="924" spans="1:11" s="144" customFormat="1" ht="13.5">
      <c r="A924" s="1"/>
      <c r="B924" s="68"/>
      <c r="C924" s="1"/>
      <c r="D924" s="1"/>
      <c r="E924" s="3"/>
      <c r="G924" s="63"/>
      <c r="H924" s="63"/>
      <c r="I924" s="1"/>
      <c r="J924" s="1"/>
      <c r="K924" s="1"/>
    </row>
    <row r="925" spans="1:11" s="144" customFormat="1" ht="13.5">
      <c r="A925" s="1"/>
      <c r="B925" s="68"/>
      <c r="C925" s="1"/>
      <c r="D925" s="1"/>
      <c r="E925" s="3"/>
      <c r="G925" s="63"/>
      <c r="H925" s="63"/>
      <c r="I925" s="1"/>
      <c r="J925" s="1"/>
      <c r="K925" s="1"/>
    </row>
    <row r="926" spans="1:11" s="144" customFormat="1" ht="13.5">
      <c r="A926" s="1"/>
      <c r="B926" s="68"/>
      <c r="C926" s="1"/>
      <c r="D926" s="1"/>
      <c r="E926" s="3"/>
      <c r="G926" s="63"/>
      <c r="H926" s="63"/>
      <c r="I926" s="1"/>
      <c r="J926" s="1"/>
      <c r="K926" s="1"/>
    </row>
    <row r="927" spans="1:11" s="144" customFormat="1" ht="13.5">
      <c r="A927" s="1"/>
      <c r="B927" s="68"/>
      <c r="C927" s="1"/>
      <c r="D927" s="1"/>
      <c r="E927" s="3"/>
      <c r="G927" s="63"/>
      <c r="H927" s="63"/>
      <c r="I927" s="1"/>
      <c r="J927" s="1"/>
      <c r="K927" s="1"/>
    </row>
    <row r="928" spans="1:11" s="144" customFormat="1" ht="13.5">
      <c r="A928" s="1"/>
      <c r="B928" s="68"/>
      <c r="C928" s="1"/>
      <c r="D928" s="1"/>
      <c r="E928" s="3"/>
      <c r="G928" s="63"/>
      <c r="H928" s="63"/>
      <c r="I928" s="1"/>
      <c r="J928" s="1"/>
      <c r="K928" s="1"/>
    </row>
    <row r="929" spans="1:11" s="144" customFormat="1" ht="13.5">
      <c r="A929" s="1"/>
      <c r="B929" s="68"/>
      <c r="C929" s="1"/>
      <c r="D929" s="1"/>
      <c r="E929" s="3"/>
      <c r="G929" s="63"/>
      <c r="H929" s="63"/>
      <c r="I929" s="1"/>
      <c r="J929" s="1"/>
      <c r="K929" s="1"/>
    </row>
    <row r="930" spans="1:11" s="144" customFormat="1" ht="13.5">
      <c r="A930" s="1"/>
      <c r="B930" s="68"/>
      <c r="C930" s="1"/>
      <c r="D930" s="1"/>
      <c r="E930" s="3"/>
      <c r="G930" s="63"/>
      <c r="H930" s="63"/>
      <c r="I930" s="1"/>
      <c r="J930" s="1"/>
      <c r="K930" s="1"/>
    </row>
    <row r="931" spans="1:11" s="144" customFormat="1" ht="13.5">
      <c r="A931" s="1"/>
      <c r="B931" s="68"/>
      <c r="C931" s="1"/>
      <c r="D931" s="1"/>
      <c r="E931" s="3"/>
      <c r="G931" s="63"/>
      <c r="H931" s="63"/>
      <c r="I931" s="1"/>
      <c r="J931" s="1"/>
      <c r="K931" s="1"/>
    </row>
    <row r="932" spans="1:11" s="144" customFormat="1" ht="13.5">
      <c r="A932" s="1"/>
      <c r="B932" s="68"/>
      <c r="C932" s="1"/>
      <c r="D932" s="1"/>
      <c r="E932" s="3"/>
      <c r="G932" s="63"/>
      <c r="H932" s="63"/>
      <c r="I932" s="1"/>
      <c r="J932" s="1"/>
      <c r="K932" s="1"/>
    </row>
    <row r="933" spans="1:11" s="144" customFormat="1" ht="13.5">
      <c r="A933" s="1"/>
      <c r="B933" s="68"/>
      <c r="C933" s="1"/>
      <c r="D933" s="1"/>
      <c r="E933" s="3"/>
      <c r="G933" s="63"/>
      <c r="H933" s="63"/>
      <c r="I933" s="1"/>
      <c r="J933" s="1"/>
      <c r="K933" s="1"/>
    </row>
    <row r="934" spans="1:11" s="144" customFormat="1" ht="13.5">
      <c r="A934" s="1"/>
      <c r="B934" s="68"/>
      <c r="C934" s="1"/>
      <c r="D934" s="1"/>
      <c r="E934" s="3"/>
      <c r="G934" s="63"/>
      <c r="H934" s="63"/>
      <c r="I934" s="1"/>
      <c r="J934" s="1"/>
      <c r="K934" s="1"/>
    </row>
    <row r="935" spans="1:11" s="144" customFormat="1" ht="13.5">
      <c r="A935" s="1"/>
      <c r="B935" s="68"/>
      <c r="C935" s="1"/>
      <c r="D935" s="1"/>
      <c r="E935" s="3"/>
      <c r="G935" s="63"/>
      <c r="H935" s="63"/>
      <c r="I935" s="1"/>
      <c r="J935" s="1"/>
      <c r="K935" s="1"/>
    </row>
    <row r="936" spans="1:11" s="144" customFormat="1" ht="13.5">
      <c r="A936" s="1"/>
      <c r="B936" s="68"/>
      <c r="C936" s="1"/>
      <c r="D936" s="1"/>
      <c r="E936" s="3"/>
      <c r="G936" s="63"/>
      <c r="H936" s="63"/>
      <c r="I936" s="1"/>
      <c r="J936" s="1"/>
      <c r="K936" s="1"/>
    </row>
    <row r="937" spans="1:11" s="144" customFormat="1" ht="13.5">
      <c r="A937" s="1"/>
      <c r="B937" s="68"/>
      <c r="C937" s="1"/>
      <c r="D937" s="1"/>
      <c r="E937" s="3"/>
      <c r="G937" s="63"/>
      <c r="H937" s="63"/>
      <c r="I937" s="1"/>
      <c r="J937" s="1"/>
      <c r="K937" s="1"/>
    </row>
    <row r="938" spans="1:11" s="144" customFormat="1" ht="13.5">
      <c r="A938" s="1"/>
      <c r="B938" s="68"/>
      <c r="C938" s="1"/>
      <c r="D938" s="1"/>
      <c r="E938" s="3"/>
      <c r="G938" s="63"/>
      <c r="H938" s="63"/>
      <c r="I938" s="1"/>
      <c r="J938" s="1"/>
      <c r="K938" s="1"/>
    </row>
    <row r="939" spans="1:11" s="144" customFormat="1" ht="13.5">
      <c r="A939" s="1"/>
      <c r="B939" s="68"/>
      <c r="C939" s="1"/>
      <c r="D939" s="1"/>
      <c r="E939" s="3"/>
      <c r="G939" s="63"/>
      <c r="H939" s="63"/>
      <c r="I939" s="1"/>
      <c r="J939" s="1"/>
      <c r="K939" s="1"/>
    </row>
    <row r="940" spans="1:11" s="144" customFormat="1" ht="13.5">
      <c r="A940" s="1"/>
      <c r="B940" s="68"/>
      <c r="C940" s="1"/>
      <c r="D940" s="1"/>
      <c r="E940" s="3"/>
      <c r="G940" s="63"/>
      <c r="H940" s="63"/>
      <c r="I940" s="1"/>
      <c r="J940" s="1"/>
      <c r="K940" s="1"/>
    </row>
    <row r="941" spans="1:11" s="144" customFormat="1" ht="13.5">
      <c r="A941" s="1"/>
      <c r="B941" s="68"/>
      <c r="C941" s="1"/>
      <c r="D941" s="1"/>
      <c r="E941" s="3"/>
      <c r="G941" s="63"/>
      <c r="H941" s="63"/>
      <c r="I941" s="1"/>
      <c r="J941" s="1"/>
      <c r="K941" s="1"/>
    </row>
    <row r="942" spans="1:11" s="144" customFormat="1" ht="13.5">
      <c r="A942" s="1"/>
      <c r="B942" s="68"/>
      <c r="C942" s="1"/>
      <c r="D942" s="1"/>
      <c r="E942" s="3"/>
      <c r="G942" s="63"/>
      <c r="H942" s="63"/>
      <c r="I942" s="1"/>
      <c r="J942" s="1"/>
      <c r="K942" s="1"/>
    </row>
    <row r="943" spans="1:11" s="144" customFormat="1" ht="13.5">
      <c r="A943" s="1"/>
      <c r="B943" s="68"/>
      <c r="C943" s="1"/>
      <c r="D943" s="1"/>
      <c r="E943" s="3"/>
      <c r="G943" s="63"/>
      <c r="H943" s="63"/>
      <c r="I943" s="1"/>
      <c r="J943" s="1"/>
      <c r="K943" s="1"/>
    </row>
    <row r="944" spans="1:11" s="144" customFormat="1" ht="13.5">
      <c r="A944" s="1"/>
      <c r="B944" s="68"/>
      <c r="C944" s="1"/>
      <c r="D944" s="1"/>
      <c r="E944" s="3"/>
      <c r="G944" s="63"/>
      <c r="H944" s="63"/>
      <c r="I944" s="1"/>
      <c r="J944" s="1"/>
      <c r="K944" s="1"/>
    </row>
    <row r="945" spans="1:11" s="144" customFormat="1" ht="13.5">
      <c r="A945" s="1"/>
      <c r="B945" s="68"/>
      <c r="C945" s="1"/>
      <c r="D945" s="1"/>
      <c r="E945" s="3"/>
      <c r="G945" s="63"/>
      <c r="H945" s="63"/>
      <c r="I945" s="1"/>
      <c r="J945" s="1"/>
      <c r="K945" s="1"/>
    </row>
    <row r="946" spans="1:11" s="144" customFormat="1" ht="13.5">
      <c r="A946" s="1"/>
      <c r="B946" s="68"/>
      <c r="C946" s="1"/>
      <c r="D946" s="1"/>
      <c r="E946" s="3"/>
      <c r="G946" s="63"/>
      <c r="H946" s="63"/>
      <c r="I946" s="1"/>
      <c r="J946" s="1"/>
      <c r="K946" s="1"/>
    </row>
    <row r="947" spans="1:11" s="144" customFormat="1" ht="13.5">
      <c r="A947" s="1"/>
      <c r="B947" s="68"/>
      <c r="C947" s="1"/>
      <c r="D947" s="1"/>
      <c r="E947" s="3"/>
      <c r="G947" s="63"/>
      <c r="H947" s="63"/>
      <c r="I947" s="1"/>
      <c r="J947" s="1"/>
      <c r="K947" s="1"/>
    </row>
    <row r="948" spans="1:11" s="144" customFormat="1" ht="13.5">
      <c r="A948" s="1"/>
      <c r="B948" s="68"/>
      <c r="C948" s="1"/>
      <c r="D948" s="1"/>
      <c r="E948" s="3"/>
      <c r="G948" s="63"/>
      <c r="H948" s="63"/>
      <c r="I948" s="1"/>
      <c r="J948" s="1"/>
      <c r="K948" s="1"/>
    </row>
    <row r="949" spans="1:11" s="144" customFormat="1" ht="13.5">
      <c r="A949" s="1"/>
      <c r="B949" s="68"/>
      <c r="C949" s="1"/>
      <c r="D949" s="1"/>
      <c r="E949" s="3"/>
      <c r="G949" s="63"/>
      <c r="H949" s="63"/>
      <c r="I949" s="1"/>
      <c r="J949" s="1"/>
      <c r="K949" s="1"/>
    </row>
    <row r="950" spans="1:11" s="144" customFormat="1" ht="13.5">
      <c r="A950" s="1"/>
      <c r="B950" s="68"/>
      <c r="C950" s="1"/>
      <c r="D950" s="1"/>
      <c r="E950" s="3"/>
      <c r="G950" s="63"/>
      <c r="H950" s="63"/>
      <c r="I950" s="1"/>
      <c r="J950" s="1"/>
      <c r="K950" s="1"/>
    </row>
    <row r="951" spans="1:11" s="144" customFormat="1" ht="13.5">
      <c r="A951" s="1"/>
      <c r="B951" s="68"/>
      <c r="C951" s="1"/>
      <c r="D951" s="1"/>
      <c r="E951" s="3"/>
      <c r="G951" s="63"/>
      <c r="H951" s="63"/>
      <c r="I951" s="1"/>
      <c r="J951" s="1"/>
      <c r="K951" s="1"/>
    </row>
    <row r="952" spans="1:11" s="144" customFormat="1" ht="13.5">
      <c r="A952" s="1"/>
      <c r="B952" s="68"/>
      <c r="C952" s="1"/>
      <c r="D952" s="1"/>
      <c r="E952" s="3"/>
      <c r="G952" s="63"/>
      <c r="H952" s="63"/>
      <c r="I952" s="1"/>
      <c r="J952" s="1"/>
      <c r="K952" s="1"/>
    </row>
    <row r="953" spans="1:11" s="144" customFormat="1" ht="13.5">
      <c r="A953" s="1"/>
      <c r="B953" s="68"/>
      <c r="C953" s="1"/>
      <c r="D953" s="1"/>
      <c r="E953" s="3"/>
      <c r="G953" s="63"/>
      <c r="H953" s="63"/>
      <c r="I953" s="1"/>
      <c r="J953" s="1"/>
      <c r="K953" s="1"/>
    </row>
    <row r="954" spans="1:11" s="144" customFormat="1" ht="13.5">
      <c r="A954" s="1"/>
      <c r="B954" s="68"/>
      <c r="C954" s="1"/>
      <c r="D954" s="1"/>
      <c r="E954" s="3"/>
      <c r="G954" s="63"/>
      <c r="H954" s="63"/>
      <c r="I954" s="1"/>
      <c r="J954" s="1"/>
      <c r="K954" s="1"/>
    </row>
    <row r="955" spans="1:11" s="144" customFormat="1" ht="13.5">
      <c r="A955" s="1"/>
      <c r="B955" s="68"/>
      <c r="C955" s="1"/>
      <c r="D955" s="1"/>
      <c r="E955" s="3"/>
      <c r="G955" s="63"/>
      <c r="H955" s="63"/>
      <c r="I955" s="1"/>
      <c r="J955" s="1"/>
      <c r="K955" s="1"/>
    </row>
    <row r="956" spans="1:11" s="144" customFormat="1" ht="13.5">
      <c r="A956" s="1"/>
      <c r="B956" s="68"/>
      <c r="C956" s="1"/>
      <c r="D956" s="1"/>
      <c r="E956" s="3"/>
      <c r="G956" s="63"/>
      <c r="H956" s="63"/>
      <c r="I956" s="1"/>
      <c r="J956" s="1"/>
      <c r="K956" s="1"/>
    </row>
    <row r="957" spans="1:11" s="144" customFormat="1" ht="13.5">
      <c r="A957" s="1"/>
      <c r="B957" s="68"/>
      <c r="C957" s="1"/>
      <c r="D957" s="1"/>
      <c r="E957" s="3"/>
      <c r="G957" s="63"/>
      <c r="H957" s="63"/>
      <c r="I957" s="1"/>
      <c r="J957" s="1"/>
      <c r="K957" s="1"/>
    </row>
    <row r="958" spans="1:11" s="144" customFormat="1" ht="13.5">
      <c r="A958" s="1"/>
      <c r="B958" s="68"/>
      <c r="C958" s="1"/>
      <c r="D958" s="1"/>
      <c r="E958" s="3"/>
      <c r="G958" s="63"/>
      <c r="H958" s="63"/>
      <c r="I958" s="1"/>
      <c r="J958" s="1"/>
      <c r="K958" s="1"/>
    </row>
    <row r="959" spans="1:11" s="144" customFormat="1" ht="13.5">
      <c r="A959" s="1"/>
      <c r="B959" s="68"/>
      <c r="C959" s="1"/>
      <c r="D959" s="1"/>
      <c r="E959" s="3"/>
      <c r="G959" s="63"/>
      <c r="H959" s="63"/>
      <c r="I959" s="1"/>
      <c r="J959" s="1"/>
      <c r="K959" s="1"/>
    </row>
    <row r="960" spans="1:11" s="144" customFormat="1" ht="13.5">
      <c r="A960" s="1"/>
      <c r="B960" s="68"/>
      <c r="C960" s="1"/>
      <c r="D960" s="1"/>
      <c r="E960" s="3"/>
      <c r="G960" s="63"/>
      <c r="H960" s="63"/>
      <c r="I960" s="1"/>
      <c r="J960" s="1"/>
      <c r="K960" s="1"/>
    </row>
    <row r="961" spans="1:11" s="144" customFormat="1" ht="13.5">
      <c r="A961" s="1"/>
      <c r="B961" s="68"/>
      <c r="C961" s="1"/>
      <c r="D961" s="1"/>
      <c r="E961" s="3"/>
      <c r="G961" s="63"/>
      <c r="H961" s="63"/>
      <c r="I961" s="1"/>
      <c r="J961" s="1"/>
      <c r="K961" s="1"/>
    </row>
    <row r="962" spans="1:11" s="144" customFormat="1" ht="13.5">
      <c r="A962" s="1"/>
      <c r="B962" s="68"/>
      <c r="C962" s="1"/>
      <c r="D962" s="1"/>
      <c r="E962" s="3"/>
      <c r="G962" s="63"/>
      <c r="H962" s="63"/>
      <c r="I962" s="1"/>
      <c r="J962" s="1"/>
      <c r="K962" s="1"/>
    </row>
    <row r="963" spans="1:11" s="144" customFormat="1" ht="13.5">
      <c r="A963" s="1"/>
      <c r="B963" s="68"/>
      <c r="C963" s="1"/>
      <c r="D963" s="1"/>
      <c r="E963" s="3"/>
      <c r="G963" s="63"/>
      <c r="H963" s="63"/>
      <c r="I963" s="1"/>
      <c r="J963" s="1"/>
      <c r="K963" s="1"/>
    </row>
    <row r="964" spans="1:11" s="144" customFormat="1" ht="13.5">
      <c r="A964" s="1"/>
      <c r="B964" s="68"/>
      <c r="C964" s="1"/>
      <c r="D964" s="1"/>
      <c r="E964" s="3"/>
      <c r="G964" s="63"/>
      <c r="H964" s="63"/>
      <c r="I964" s="1"/>
      <c r="J964" s="1"/>
      <c r="K964" s="1"/>
    </row>
    <row r="965" spans="1:11" s="144" customFormat="1" ht="13.5">
      <c r="A965" s="1"/>
      <c r="B965" s="68"/>
      <c r="C965" s="1"/>
      <c r="D965" s="1"/>
      <c r="E965" s="3"/>
      <c r="G965" s="63"/>
      <c r="H965" s="63"/>
      <c r="I965" s="1"/>
      <c r="J965" s="1"/>
      <c r="K965" s="1"/>
    </row>
    <row r="966" spans="1:11" s="144" customFormat="1" ht="13.5">
      <c r="A966" s="1"/>
      <c r="B966" s="68"/>
      <c r="C966" s="1"/>
      <c r="D966" s="1"/>
      <c r="E966" s="3"/>
      <c r="G966" s="63"/>
      <c r="H966" s="63"/>
      <c r="I966" s="1"/>
      <c r="J966" s="1"/>
      <c r="K966" s="1"/>
    </row>
    <row r="967" spans="1:11" s="144" customFormat="1" ht="13.5">
      <c r="A967" s="1"/>
      <c r="B967" s="68"/>
      <c r="C967" s="1"/>
      <c r="D967" s="1"/>
      <c r="E967" s="3"/>
      <c r="G967" s="63"/>
      <c r="H967" s="63"/>
      <c r="I967" s="1"/>
      <c r="J967" s="1"/>
      <c r="K967" s="1"/>
    </row>
    <row r="968" spans="1:11" s="144" customFormat="1" ht="13.5">
      <c r="A968" s="1"/>
      <c r="B968" s="68"/>
      <c r="C968" s="1"/>
      <c r="D968" s="1"/>
      <c r="E968" s="3"/>
      <c r="G968" s="63"/>
      <c r="H968" s="63"/>
      <c r="I968" s="1"/>
      <c r="J968" s="1"/>
      <c r="K968" s="1"/>
    </row>
    <row r="969" spans="1:11" s="144" customFormat="1" ht="13.5">
      <c r="A969" s="1"/>
      <c r="B969" s="68"/>
      <c r="C969" s="1"/>
      <c r="D969" s="1"/>
      <c r="E969" s="3"/>
      <c r="G969" s="63"/>
      <c r="H969" s="63"/>
      <c r="I969" s="1"/>
      <c r="J969" s="1"/>
      <c r="K969" s="1"/>
    </row>
    <row r="970" spans="1:11" s="144" customFormat="1" ht="13.5">
      <c r="A970" s="1"/>
      <c r="B970" s="68"/>
      <c r="C970" s="1"/>
      <c r="D970" s="1"/>
      <c r="E970" s="3"/>
      <c r="G970" s="63"/>
      <c r="H970" s="63"/>
      <c r="I970" s="1"/>
      <c r="J970" s="1"/>
      <c r="K970" s="1"/>
    </row>
    <row r="971" spans="1:11" s="144" customFormat="1" ht="13.5">
      <c r="A971" s="1"/>
      <c r="B971" s="68"/>
      <c r="C971" s="1"/>
      <c r="D971" s="1"/>
      <c r="E971" s="3"/>
      <c r="G971" s="63"/>
      <c r="H971" s="63"/>
      <c r="I971" s="1"/>
      <c r="J971" s="1"/>
      <c r="K971" s="1"/>
    </row>
    <row r="972" spans="1:11" s="144" customFormat="1" ht="13.5">
      <c r="A972" s="1"/>
      <c r="B972" s="68"/>
      <c r="C972" s="1"/>
      <c r="D972" s="1"/>
      <c r="E972" s="3"/>
      <c r="G972" s="63"/>
      <c r="H972" s="63"/>
      <c r="I972" s="1"/>
      <c r="J972" s="1"/>
      <c r="K972" s="1"/>
    </row>
    <row r="973" spans="1:11" s="144" customFormat="1" ht="13.5">
      <c r="A973" s="1"/>
      <c r="B973" s="68"/>
      <c r="C973" s="1"/>
      <c r="D973" s="1"/>
      <c r="E973" s="3"/>
      <c r="G973" s="63"/>
      <c r="H973" s="63"/>
      <c r="I973" s="1"/>
      <c r="J973" s="1"/>
      <c r="K973" s="1"/>
    </row>
    <row r="974" spans="1:11" s="144" customFormat="1" ht="13.5">
      <c r="A974" s="1"/>
      <c r="B974" s="68"/>
      <c r="C974" s="1"/>
      <c r="D974" s="1"/>
      <c r="E974" s="3"/>
      <c r="G974" s="63"/>
      <c r="H974" s="63"/>
      <c r="I974" s="1"/>
      <c r="J974" s="1"/>
      <c r="K974" s="1"/>
    </row>
    <row r="975" spans="1:11" s="144" customFormat="1" ht="13.5">
      <c r="A975" s="1"/>
      <c r="B975" s="68"/>
      <c r="C975" s="1"/>
      <c r="D975" s="1"/>
      <c r="E975" s="3"/>
      <c r="G975" s="63"/>
      <c r="H975" s="63"/>
      <c r="I975" s="1"/>
      <c r="J975" s="1"/>
      <c r="K975" s="1"/>
    </row>
  </sheetData>
  <sheetProtection/>
  <mergeCells count="17">
    <mergeCell ref="F57:G57"/>
    <mergeCell ref="F58:G58"/>
    <mergeCell ref="B1:B3"/>
    <mergeCell ref="C1:C3"/>
    <mergeCell ref="D1:D3"/>
    <mergeCell ref="F27:G27"/>
    <mergeCell ref="F30:G30"/>
    <mergeCell ref="F34:G34"/>
    <mergeCell ref="F68:G68"/>
    <mergeCell ref="F151:G151"/>
    <mergeCell ref="F188:G188"/>
    <mergeCell ref="F91:G91"/>
    <mergeCell ref="F92:G92"/>
    <mergeCell ref="F110:G110"/>
    <mergeCell ref="F114:G114"/>
    <mergeCell ref="F120:F121"/>
    <mergeCell ref="F71:G71"/>
  </mergeCells>
  <printOptions horizontalCentered="1"/>
  <pageMargins left="0.7480314960629921" right="0.7480314960629921" top="1.6535433070866143" bottom="0.984251968503937" header="0" footer="0"/>
  <pageSetup fitToHeight="6" fitToWidth="1" horizontalDpi="300" verticalDpi="300" orientation="landscape" scale="85" r:id="rId2"/>
  <headerFooter alignWithMargins="0">
    <oddHeader>&amp;L&amp;G&amp;C
&amp;"Arial,Negrita"GOBIERNO DEL ESTADO DE SONORA
DIRECCIÓN DE CRÉDITO PÚBLICO
RELACIÓN DE SALDOS DE MUNICIPIOS NO AVALADOS AGOSTO 2016&amp;R
</oddHeader>
    <oddFooter>&amp;CPágina &amp;P de &amp;N</oddFooter>
  </headerFooter>
  <rowBreaks count="3" manualBreakCount="3">
    <brk id="40" max="4" man="1"/>
    <brk id="81" max="4" man="1"/>
    <brk id="163" max="4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6"/>
  <sheetViews>
    <sheetView view="pageBreakPreview" zoomScale="87" zoomScaleSheetLayoutView="87" workbookViewId="0" topLeftCell="A1">
      <selection activeCell="A3" sqref="A3"/>
    </sheetView>
  </sheetViews>
  <sheetFormatPr defaultColWidth="11.421875" defaultRowHeight="12.75"/>
  <cols>
    <col min="1" max="1" width="36.421875" style="1" customWidth="1"/>
    <col min="2" max="2" width="12.57421875" style="68" bestFit="1" customWidth="1"/>
    <col min="3" max="3" width="13.140625" style="68" customWidth="1"/>
    <col min="4" max="4" width="13.421875" style="1" hidden="1" customWidth="1"/>
    <col min="5" max="5" width="21.140625" style="1" bestFit="1" customWidth="1"/>
    <col min="6" max="6" width="16.7109375" style="144" customWidth="1"/>
    <col min="7" max="7" width="16.421875" style="63" customWidth="1"/>
    <col min="8" max="8" width="17.57421875" style="63" customWidth="1"/>
    <col min="9" max="9" width="14.421875" style="1" bestFit="1" customWidth="1"/>
    <col min="10" max="10" width="13.7109375" style="1" bestFit="1" customWidth="1"/>
    <col min="11" max="11" width="18.140625" style="1" bestFit="1" customWidth="1"/>
    <col min="12" max="16384" width="11.421875" style="1" customWidth="1"/>
  </cols>
  <sheetData>
    <row r="1" spans="2:8" ht="25.5" customHeight="1">
      <c r="B1" s="368" t="s">
        <v>37</v>
      </c>
      <c r="C1" s="374" t="s">
        <v>204</v>
      </c>
      <c r="D1" s="400" t="s">
        <v>205</v>
      </c>
      <c r="E1" s="143" t="s">
        <v>97</v>
      </c>
      <c r="F1" s="404" t="s">
        <v>1</v>
      </c>
      <c r="G1" s="404"/>
      <c r="H1" s="404"/>
    </row>
    <row r="2" spans="1:8" ht="12.75">
      <c r="A2" s="120"/>
      <c r="B2" s="399"/>
      <c r="C2" s="399"/>
      <c r="D2" s="401"/>
      <c r="E2" s="145">
        <v>42643</v>
      </c>
      <c r="F2" s="404" t="s">
        <v>5</v>
      </c>
      <c r="G2" s="404" t="s">
        <v>6</v>
      </c>
      <c r="H2" s="404" t="s">
        <v>2</v>
      </c>
    </row>
    <row r="3" spans="1:8" ht="13.5" customHeight="1">
      <c r="A3" s="120"/>
      <c r="B3" s="369"/>
      <c r="C3" s="369"/>
      <c r="D3" s="402"/>
      <c r="E3" s="58" t="s">
        <v>22</v>
      </c>
      <c r="F3" s="404"/>
      <c r="G3" s="404"/>
      <c r="H3" s="404"/>
    </row>
    <row r="4" spans="1:8" ht="14.25" customHeight="1">
      <c r="A4" s="125" t="s">
        <v>164</v>
      </c>
      <c r="B4" s="65"/>
      <c r="C4" s="134"/>
      <c r="D4" s="54"/>
      <c r="E4" s="135"/>
      <c r="F4" s="126"/>
      <c r="G4" s="126"/>
      <c r="H4" s="126"/>
    </row>
    <row r="5" spans="1:9" ht="12.75" customHeight="1">
      <c r="A5" s="5" t="s">
        <v>240</v>
      </c>
      <c r="B5" s="65" t="s">
        <v>241</v>
      </c>
      <c r="C5" s="134">
        <v>43159</v>
      </c>
      <c r="D5" s="79"/>
      <c r="E5" s="162">
        <f>'SALDO MPIO NO AVALADO'!E121</f>
        <v>438929.9869031002</v>
      </c>
      <c r="F5" s="126">
        <f>' DEUDA MUNICIPIOS NO AVALADOS'!B120</f>
        <v>23760.083377799998</v>
      </c>
      <c r="G5" s="126">
        <f>' DEUDA MUNICIPIOS NO AVALADOS'!C120</f>
        <v>1431.1732523</v>
      </c>
      <c r="H5" s="126">
        <f>F5+G5</f>
        <v>25191.256630099997</v>
      </c>
      <c r="I5" s="13"/>
    </row>
    <row r="6" spans="1:8" ht="12.75">
      <c r="A6" s="127" t="s">
        <v>166</v>
      </c>
      <c r="B6" s="68" t="s">
        <v>375</v>
      </c>
      <c r="C6" s="134">
        <v>43677</v>
      </c>
      <c r="D6" s="79"/>
      <c r="E6" s="162">
        <f>4526774-125801.24-63347.73-64050.03-67039.22-65540.67-68189.45-67751.04-69388.23-69003.86-62428.07-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-45831.5-45831.5+0.04-45831.5-45831.5-45831.5-45831.5-0.5-45831.5-45831.5-45831.5-45831.5</f>
        <v>1558490.4999999995</v>
      </c>
      <c r="F6" s="126">
        <f>' DEUDA MUNICIPIOS NO AVALADOS'!B121</f>
        <v>45831.5</v>
      </c>
      <c r="G6" s="126">
        <f>' DEUDA MUNICIPIOS NO AVALADOS'!C121</f>
        <v>12166.11</v>
      </c>
      <c r="H6" s="126">
        <f>F6+G6</f>
        <v>57997.61</v>
      </c>
    </row>
    <row r="7" spans="1:8" ht="12.75">
      <c r="A7" s="5"/>
      <c r="B7" s="65"/>
      <c r="C7" s="134"/>
      <c r="D7" s="79"/>
      <c r="E7" s="175">
        <f>SUM(E5:E6)</f>
        <v>1997420.4869030998</v>
      </c>
      <c r="F7" s="176">
        <f>SUM(F5:F6)</f>
        <v>69591.5833778</v>
      </c>
      <c r="G7" s="176">
        <f>SUM(G5:G6)</f>
        <v>13597.2832523</v>
      </c>
      <c r="H7" s="176">
        <f>SUM(H5:H6)</f>
        <v>83188.8666301</v>
      </c>
    </row>
    <row r="8" spans="1:8" ht="12.75">
      <c r="A8" s="125" t="s">
        <v>149</v>
      </c>
      <c r="B8" s="65"/>
      <c r="C8" s="65"/>
      <c r="D8" s="54"/>
      <c r="E8" s="135"/>
      <c r="F8" s="126"/>
      <c r="G8" s="126"/>
      <c r="H8" s="126"/>
    </row>
    <row r="9" spans="1:8" ht="12.75">
      <c r="A9" s="5" t="s">
        <v>144</v>
      </c>
      <c r="B9" s="65" t="s">
        <v>232</v>
      </c>
      <c r="C9" s="134">
        <v>46446</v>
      </c>
      <c r="D9" s="54"/>
      <c r="E9" s="54">
        <f>519347978.82-517747-524478-531296-538203-552287-545199-559467-566740-574107-581571-589131-596790-604548-620368-620368-636603-636603-644879-653262-661755-2232463.09-679072-687900-696843-705902-715078+1578237.09-724374-733791-743331-752994-762783-772699-782744-792920-803228-813670-824247-834962-845817-856813-867951-879235-890665-902243-913972-925854-937890-950083-962434-974945-987620-1000459-1013465-1026640-1039986-1053506-1067201-1081075-1095129-1109366-1123788-1138397-1153196-1168187-1183374-1198758-1214342-1230128-1246120-1262319-1278729-1295353-1312192-1329251-1346531-1364036-1381769-1399732-1417928-1436361</f>
        <v>447248972.82</v>
      </c>
      <c r="F9" s="126">
        <f>' DEUDA MUNICIPIOS NO AVALADOS'!B95</f>
        <v>1436361</v>
      </c>
      <c r="G9" s="126">
        <f>' DEUDA MUNICIPIOS NO AVALADOS'!C95</f>
        <v>1903248.41</v>
      </c>
      <c r="H9" s="126">
        <f>F9+G9</f>
        <v>3339609.41</v>
      </c>
    </row>
    <row r="10" spans="1:8" ht="12.75">
      <c r="A10" s="5" t="str">
        <f>'[1] DEUDA MUNICIPIOS NO AVALADOS'!A88</f>
        <v>COFIDAN SN6570 230 mdp</v>
      </c>
      <c r="B10" s="333">
        <v>8.719</v>
      </c>
      <c r="C10" s="134">
        <v>48029</v>
      </c>
      <c r="D10" s="54"/>
      <c r="E10" s="54">
        <f>230000000-375360-437690-381800-443900-388470-391690-570860-399280-460920-406180-467590-413080-416530-477710-423660-484610-431020-434470-609960-442750-503240-450340-510600-457930-461610-521870-469430-529460-477480-481390-596850-489900-549470-498180-557520-506690-510830-569710-519340</f>
        <v>211480630</v>
      </c>
      <c r="F10" s="126">
        <f>' DEUDA MUNICIPIOS NO AVALADOS'!B96</f>
        <v>519340</v>
      </c>
      <c r="G10" s="126">
        <f>' DEUDA MUNICIPIOS NO AVALADOS'!C96</f>
        <v>1540356.45</v>
      </c>
      <c r="H10" s="126">
        <f>F10+G10</f>
        <v>2059696.45</v>
      </c>
    </row>
    <row r="11" spans="1:11" ht="12.75">
      <c r="A11" s="5" t="s">
        <v>234</v>
      </c>
      <c r="B11" s="159" t="s">
        <v>235</v>
      </c>
      <c r="C11" s="134">
        <v>48693</v>
      </c>
      <c r="D11" s="54"/>
      <c r="E11" s="54">
        <f>529000000-500000-500000-500000-500000-500000-500000-500000-500000-500000-500000-500000-500000-500000-500000-500000-500000-500000</f>
        <v>520500000</v>
      </c>
      <c r="F11" s="126">
        <f>' DEUDA MUNICIPIOS NO AVALADOS'!B97</f>
        <v>500000</v>
      </c>
      <c r="G11" s="126">
        <f>' DEUDA MUNICIPIOS NO AVALADOS'!C97</f>
        <v>3533712.86</v>
      </c>
      <c r="H11" s="126">
        <f>F11+G11</f>
        <v>4033712.86</v>
      </c>
      <c r="K11" s="141"/>
    </row>
    <row r="12" spans="1:8" ht="12.75">
      <c r="A12" s="5" t="str">
        <f>'[1] DEUDA MUNICIPIOS NO AVALADOS'!A90</f>
        <v>COFIDAN SN6260 242.6 MDP</v>
      </c>
      <c r="B12" s="65">
        <v>8.101</v>
      </c>
      <c r="C12" s="134">
        <v>48791</v>
      </c>
      <c r="D12" s="54"/>
      <c r="E12" s="54">
        <f>173026436.42+8128432.48+4691711.11-275610.48-329505.83-280841.33-334523.84-286017.89+27.36-288619.84-0.16-393251.36-294380.98-347904.8+0.14-299956.38-353294.34-305531.77-308133.63+0.12-361285.75</f>
        <v>181387749.24999997</v>
      </c>
      <c r="F12" s="126">
        <f>' DEUDA MUNICIPIOS NO AVALADOS'!B98</f>
        <v>361285.75</v>
      </c>
      <c r="G12" s="126">
        <f>' DEUDA MUNICIPIOS NO AVALADOS'!C98</f>
        <v>1210002.19</v>
      </c>
      <c r="H12" s="126">
        <f>F12+G12</f>
        <v>1571287.94</v>
      </c>
    </row>
    <row r="13" spans="1:8" ht="12.75">
      <c r="A13" s="5" t="str">
        <f>'SALDO MPIO NO AVALADO'!A100</f>
        <v>INTERACCIONES no. 439277 100 mdp</v>
      </c>
      <c r="B13" s="65" t="str">
        <f>'SALDO MPIO NO AVALADO'!B100</f>
        <v>TIIE + 2.25</v>
      </c>
      <c r="C13" s="134">
        <f>'SALDO MPIO NO AVALADO'!C100</f>
        <v>43100</v>
      </c>
      <c r="D13" s="54"/>
      <c r="E13" s="54">
        <f>'SALDO MPIO NO AVALADO'!E100</f>
        <v>100000000</v>
      </c>
      <c r="F13" s="126">
        <f>' DEUDA MUNICIPIOS NO AVALADOS'!B99</f>
        <v>0</v>
      </c>
      <c r="G13" s="126">
        <f>' DEUDA MUNICIPIOS NO AVALADOS'!C99</f>
        <v>570416.7</v>
      </c>
      <c r="H13" s="126">
        <f>F13+G13</f>
        <v>570416.7</v>
      </c>
    </row>
    <row r="14" spans="1:8" ht="15.75" customHeight="1">
      <c r="A14" s="5" t="str">
        <f>' DEUDA MUNICIPIOS NO AVALADOS'!A100</f>
        <v>INTERACCIONES no. 429359 80 mdp</v>
      </c>
      <c r="B14" s="159" t="str">
        <f>'SALDO MPIO NO AVALADO'!B101</f>
        <v>TIIE + 2.9</v>
      </c>
      <c r="C14" s="134">
        <v>42735</v>
      </c>
      <c r="D14" s="54"/>
      <c r="E14" s="177">
        <f>80000000-6666666.67-6666666.67-6666666.67-6666666.67-6666666.67-6666666.67-6666666.67-6666666.67-6666666.67</f>
        <v>19999999.969999984</v>
      </c>
      <c r="F14" s="126">
        <f>' DEUDA MUNICIPIOS NO AVALADOS'!B100</f>
        <v>6666666.67</v>
      </c>
      <c r="G14" s="126">
        <f>' DEUDA MUNICIPIOS NO AVALADOS'!C100</f>
        <v>166555.5</v>
      </c>
      <c r="H14" s="126">
        <f>' DEUDA MUNICIPIOS NO AVALADOS'!E100</f>
        <v>6833222.17</v>
      </c>
    </row>
    <row r="15" spans="1:8" ht="12.75">
      <c r="A15" s="125" t="s">
        <v>154</v>
      </c>
      <c r="B15" s="65"/>
      <c r="C15" s="134"/>
      <c r="D15" s="54"/>
      <c r="E15" s="135"/>
      <c r="F15" s="126"/>
      <c r="G15" s="126"/>
      <c r="H15" s="126"/>
    </row>
    <row r="16" spans="1:8" ht="12.75">
      <c r="A16" s="5" t="s">
        <v>155</v>
      </c>
      <c r="B16" s="65" t="s">
        <v>236</v>
      </c>
      <c r="C16" s="134">
        <v>44559</v>
      </c>
      <c r="D16" s="54"/>
      <c r="E16" s="54">
        <f>39814285.7-276488.1-276488.1-276488.1-276488.1-276488.1-276488.1-276488.1-276488.1-276488.1-276488.1-276488.1-276488.1-276488.1-276488.1-276488.1-276488.1-276488.1-276488.1-276488.1-276488.1-276488.1-276488.1-276488.1-276488.1-276488.1-276488.1-276488.1-276488.1-276488.1-276488.1-276488.1+0.14-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-276488.1-276488.1</f>
        <v>17695237.839999884</v>
      </c>
      <c r="F16" s="126">
        <f>' DEUDA MUNICIPIOS NO AVALADOS'!B102</f>
        <v>276488.1</v>
      </c>
      <c r="G16" s="126">
        <f>' DEUDA MUNICIPIOS NO AVALADOS'!C102</f>
        <v>70993.01</v>
      </c>
      <c r="H16" s="126">
        <f>F16+G16</f>
        <v>347481.11</v>
      </c>
    </row>
    <row r="17" spans="1:8" ht="12.75">
      <c r="A17" s="5" t="str">
        <f>'[1] DEUDA MUNICIPIOS NO AVALADOS'!A95</f>
        <v>BANSI 330 mdp 2014</v>
      </c>
      <c r="B17" s="65" t="s">
        <v>237</v>
      </c>
      <c r="C17" s="134">
        <v>47111</v>
      </c>
      <c r="D17" s="54"/>
      <c r="E17" s="54">
        <f>330000000-0-0-200000-200000-200000-200000-200000-200000-200000-200000-200000</f>
        <v>328200000</v>
      </c>
      <c r="F17" s="126">
        <f>' DEUDA MUNICIPIOS NO AVALADOS'!B103</f>
        <v>200000</v>
      </c>
      <c r="G17" s="126">
        <f>' DEUDA MUNICIPIOS NO AVALADOS'!C103</f>
        <v>2227392.13</v>
      </c>
      <c r="H17" s="126">
        <f>F17+G17</f>
        <v>2427392.13</v>
      </c>
    </row>
    <row r="18" spans="1:8" ht="12.75">
      <c r="A18" s="5"/>
      <c r="B18" s="65"/>
      <c r="C18" s="134"/>
      <c r="D18" s="54"/>
      <c r="E18" s="79">
        <f>SUM(E9:E17)</f>
        <v>1826512589.8799999</v>
      </c>
      <c r="F18" s="79">
        <f>SUM(F9:F17)</f>
        <v>9960141.52</v>
      </c>
      <c r="G18" s="79">
        <f>SUM(G9:G17)</f>
        <v>11222677.25</v>
      </c>
      <c r="H18" s="79">
        <f>SUM(H9:H17)</f>
        <v>21182818.77</v>
      </c>
    </row>
    <row r="19" spans="1:27" s="63" customFormat="1" ht="12.75">
      <c r="A19" s="125" t="s">
        <v>174</v>
      </c>
      <c r="B19" s="65"/>
      <c r="C19" s="134"/>
      <c r="D19" s="54"/>
      <c r="E19" s="135"/>
      <c r="F19" s="126"/>
      <c r="G19" s="126"/>
      <c r="H19" s="1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63" customFormat="1" ht="12.75">
      <c r="A20" s="127" t="str">
        <f>' DEUDA MUNICIPIOS NO AVALADOS'!A139</f>
        <v>INTERACCIONES 330025770 $ 80 mdp</v>
      </c>
      <c r="B20" s="65" t="str">
        <f>'SALDO MPIO NO AVALADO'!B136</f>
        <v>TIIE + 2.95%</v>
      </c>
      <c r="C20" s="134">
        <f>'SALDO MPIO NO AVALADO'!C136</f>
        <v>43100</v>
      </c>
      <c r="D20" s="54"/>
      <c r="E20" s="177">
        <f>80000000-4342168-4394781-4331263-4385846-4302219-4293757</f>
        <v>53949966</v>
      </c>
      <c r="F20" s="126">
        <f>' DEUDA MUNICIPIOS NO AVALADOS'!B139</f>
        <v>4293757</v>
      </c>
      <c r="G20" s="126">
        <f>' DEUDA MUNICIPIOS NO AVALADOS'!C139</f>
        <v>366207.3</v>
      </c>
      <c r="H20" s="126">
        <f>F20+G20</f>
        <v>4659964.3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63" customFormat="1" ht="12.75">
      <c r="A21" s="5" t="str">
        <f>' DEUDA MUNICIPIOS NO AVALADOS'!A140</f>
        <v>INTERACCIONES 300005940 $579mdp</v>
      </c>
      <c r="B21" s="274" t="s">
        <v>407</v>
      </c>
      <c r="C21" s="134">
        <v>49003</v>
      </c>
      <c r="D21" s="149">
        <v>17410000</v>
      </c>
      <c r="E21" s="273">
        <f>579761401</f>
        <v>579761401</v>
      </c>
      <c r="F21" s="126">
        <f>' DEUDA MUNICIPIOS NO AVALADOS'!B140</f>
        <v>0</v>
      </c>
      <c r="G21" s="126">
        <f>' DEUDA MUNICIPIOS NO AVALADOS'!C140</f>
        <v>159434.25</v>
      </c>
      <c r="H21" s="126">
        <f>F21+G21</f>
        <v>159434.25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63" customFormat="1" ht="12.75">
      <c r="A22" s="5"/>
      <c r="B22" s="65"/>
      <c r="C22" s="134"/>
      <c r="D22" s="54"/>
      <c r="E22" s="135"/>
      <c r="F22" s="126"/>
      <c r="G22" s="126"/>
      <c r="H22" s="12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63" customFormat="1" ht="14.25" customHeight="1">
      <c r="A23" s="125" t="s">
        <v>171</v>
      </c>
      <c r="B23" s="65"/>
      <c r="C23" s="134"/>
      <c r="D23" s="54"/>
      <c r="E23" s="135"/>
      <c r="F23" s="126"/>
      <c r="G23" s="126"/>
      <c r="H23" s="12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63" customFormat="1" ht="12.75">
      <c r="A24" s="5" t="s">
        <v>172</v>
      </c>
      <c r="B24" s="68" t="s">
        <v>376</v>
      </c>
      <c r="C24" s="134">
        <v>46477</v>
      </c>
      <c r="D24" s="54"/>
      <c r="E24" s="54">
        <f>97680136.92-257100.99-307557.86-260042.71-277674.55-262844.06-280399.66-265674.21-267058.3-284499.21-269931.76-287294.46-272834.76-274256.15-323133.57-277368.38-294528.69-280347.81-297427.02-283357.86-284834.07-301791.18-287890.23-304764.16-290977.79-292493.7-324467.18-295707.9-312369.06-298875.81-315450.76-302076.28-303650.02-320095.03-306899.55-323256.12-310182.49-311798.45-357219.41-315283.85-331412.23-318652.96-334689.64-322056.69-323734.52-339632.9-327190.48-342994.8-330681.96-332404.72-375928.48-336094.94-351656.91-339677.93-355142.39-343297.75-345086.24-360403.51-348761.65-363978.88-352474.83-354311.12-395817.99-358219.09-373178.92-362029.47-376885.6-365879.01-367785.14-382484.62-371693.83-386286.94-375642.7-377599.7-0.33-404497.24-381674.21+0.24-395995.68-385725.65-399936.86-389818.73-391849.58-405894.12</f>
        <v>71017561.17</v>
      </c>
      <c r="F24" s="126">
        <f>' DEUDA MUNICIPIOS NO AVALADOS'!B135</f>
        <v>405894.12</v>
      </c>
      <c r="G24" s="126">
        <f>' DEUDA MUNICIPIOS NO AVALADOS'!C135</f>
        <v>392531.4</v>
      </c>
      <c r="H24" s="126">
        <f>F24+G24</f>
        <v>798425.52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63" customFormat="1" ht="12.75">
      <c r="A25" s="5" t="s">
        <v>173</v>
      </c>
      <c r="B25" s="68" t="s">
        <v>377</v>
      </c>
      <c r="C25" s="134">
        <v>47848</v>
      </c>
      <c r="D25" s="54"/>
      <c r="E25" s="54">
        <f>40000000-51520-52000-64680-53080-65760-54200-54720-91560-56120-68720-57320-69880-58520-59040-71560-60280-72800-61560-62160-98320-63680-76080-65000-77360-66320-66960-79280-68360-80640-69760-70400-105840-72080-84320-73560-85760-75080-75800-87920-77360-89440-78920-79680-103000-81400</f>
        <v>36762200</v>
      </c>
      <c r="F25" s="126">
        <f>' DEUDA MUNICIPIOS NO AVALADOS'!B136</f>
        <v>81400</v>
      </c>
      <c r="G25" s="126">
        <f>' DEUDA MUNICIPIOS NO AVALADOS'!C136</f>
        <v>284002.75</v>
      </c>
      <c r="H25" s="126">
        <f>F25+G25</f>
        <v>365402.75</v>
      </c>
      <c r="I25" s="1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63" customFormat="1" ht="12.75">
      <c r="A26" s="1"/>
      <c r="B26" s="68"/>
      <c r="C26" s="68"/>
      <c r="D26" s="1"/>
      <c r="E26" s="178">
        <f>SUM(E21:E25)</f>
        <v>687541162.17</v>
      </c>
      <c r="F26" s="178">
        <f>SUM(F21:F25)</f>
        <v>487294.12</v>
      </c>
      <c r="G26" s="178">
        <f>SUM(G21:G25)</f>
        <v>835968.4</v>
      </c>
      <c r="H26" s="178">
        <f>SUM(H21:H25)</f>
        <v>1323262.52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8" ht="12.75">
      <c r="A27" s="125" t="s">
        <v>124</v>
      </c>
      <c r="B27" s="65"/>
      <c r="C27" s="65"/>
      <c r="D27" s="54"/>
      <c r="E27" s="135"/>
      <c r="F27" s="126"/>
      <c r="G27" s="126"/>
      <c r="H27" s="126"/>
    </row>
    <row r="28" spans="1:8" ht="12.75">
      <c r="A28" s="5" t="str">
        <f>'[1] DEUDA MUNICIPIOS NO AVALADOS'!A52</f>
        <v>INTERACCIONES 381482 208 MDP</v>
      </c>
      <c r="B28" s="159" t="s">
        <v>221</v>
      </c>
      <c r="C28" s="134">
        <v>48760</v>
      </c>
      <c r="D28" s="54">
        <v>6240000</v>
      </c>
      <c r="E28" s="273">
        <f>208000000-1351982-251353-251353-251353-251353-251353-251353-251353-251353-251353-251353-251353-1372695-251353-251353-251353-268950-287779-307927-329485-352552-377235-403645-431904-1377515-494497-529116-566160-605797-648208</f>
        <v>194775611</v>
      </c>
      <c r="F28" s="126">
        <f>' DEUDA MUNICIPIOS NO AVALADOS'!B52</f>
        <v>648208</v>
      </c>
      <c r="G28" s="126">
        <f>' DEUDA MUNICIPIOS NO AVALADOS'!C52</f>
        <v>1116358.5</v>
      </c>
      <c r="H28" s="126">
        <f>F28+G28</f>
        <v>1764566.5</v>
      </c>
    </row>
    <row r="29" spans="1:11" ht="12.75">
      <c r="A29" s="127" t="s">
        <v>222</v>
      </c>
      <c r="B29" s="159" t="s">
        <v>223</v>
      </c>
      <c r="C29" s="134">
        <v>49248</v>
      </c>
      <c r="D29" s="54"/>
      <c r="E29" s="54">
        <f>320293776</f>
        <v>320293776</v>
      </c>
      <c r="F29" s="126">
        <f>' DEUDA MUNICIPIOS NO AVALADOS'!B53</f>
        <v>0</v>
      </c>
      <c r="G29" s="126">
        <f>' DEUDA MUNICIPIOS NO AVALADOS'!C53</f>
        <v>1493369.73</v>
      </c>
      <c r="H29" s="126">
        <f>F29+G29</f>
        <v>1493369.73</v>
      </c>
      <c r="I29" s="126"/>
      <c r="J29" s="126"/>
      <c r="K29" s="126"/>
    </row>
    <row r="30" spans="1:11" ht="12.75">
      <c r="A30" s="5"/>
      <c r="B30" s="65"/>
      <c r="C30" s="134"/>
      <c r="D30" s="54"/>
      <c r="E30" s="79"/>
      <c r="F30" s="126"/>
      <c r="G30" s="126"/>
      <c r="H30" s="126"/>
      <c r="I30" s="126"/>
      <c r="J30" s="126"/>
      <c r="K30" s="126"/>
    </row>
    <row r="31" spans="1:8" ht="17.25" customHeight="1">
      <c r="A31" s="125" t="s">
        <v>127</v>
      </c>
      <c r="B31" s="65"/>
      <c r="C31" s="134"/>
      <c r="D31" s="54"/>
      <c r="E31" s="135"/>
      <c r="F31" s="126"/>
      <c r="G31" s="126"/>
      <c r="H31" s="126"/>
    </row>
    <row r="32" spans="1:8" ht="12.75">
      <c r="A32" s="5" t="s">
        <v>128</v>
      </c>
      <c r="B32" s="65" t="s">
        <v>206</v>
      </c>
      <c r="C32" s="134">
        <v>44915</v>
      </c>
      <c r="D32" s="54"/>
      <c r="E32" s="54">
        <f>40300000.05-258333.33-258333.33-258333.33-258333.33-258333.33-258333.33-258333.33-258333.33-258333.33-258333.33-258333.33-258333.33-258333.33-258333.33-258333.33-258333.33-258333.33-258333.33-258333.33-258333.33-258333.33-258333.33-258333.33-258333.33-258333.33-258333.33-258333.33-258333.33-258333.33-258333.33-258333.33-0.15-258333.33-258333.33-258333.33-258333.33-0.02-258333.33-258333.33-258333.33-258333.33-258333.33-0.01-258333.33-0.01-258333.33-258333.33-258333.33-258333.33-258333.33-0.01-258333.33-258333.33-258333.33-0.01-258333.33-258333.33-258333.33-0.01-258333.33-258333.33-0.01-258333.33-258333.33-258333.33-0.01-258333.33-0.01-258333.33-258333.33-258333.33-258333.33-258333.33-258333.33-258333.33-258333.33-258333.33-258333.33-258333.33-0.03-258333.33-258333.33-258333.33-0.01-258333.33-258333.33-258333.33-258333.33-258333.33-258333.33-258333.33-258333.33</f>
        <v>19633333.360000126</v>
      </c>
      <c r="F32" s="126">
        <f>' DEUDA MUNICIPIOS NO AVALADOS'!B56</f>
        <v>258333.33</v>
      </c>
      <c r="G32" s="126">
        <f>' DEUDA MUNICIPIOS NO AVALADOS'!C56</f>
        <v>78577.28</v>
      </c>
      <c r="H32" s="126">
        <f>F32+G32</f>
        <v>336910.61</v>
      </c>
    </row>
    <row r="33" spans="1:8" ht="12.75">
      <c r="A33" s="127" t="s">
        <v>129</v>
      </c>
      <c r="B33" s="65" t="s">
        <v>206</v>
      </c>
      <c r="C33" s="134">
        <v>45284</v>
      </c>
      <c r="D33" s="54"/>
      <c r="E33" s="54">
        <f>43628022.68-259690.61-259690.61-259690.61-259690.61-259690.61-259690.61-259690.61-259690.61-259690.61-259690.61-259690.61-259690.61-259690.61-259690.61-0.01-259690.61-259690.61-259690.61-259690.61-259690.61-259690.61-259690.61-259690.61-259690.61-259690.61-259690.61-259690.61-259690.61-259690.61-259690.61-259690.61-259690.61-0.05-259690.61-259690.61-259690.61-259690.61-259690.61-259690.61-259690.61-259690.61-259690.61-259690.61-259690.61-259690.61-259690.61-259690.61-259690.61-259690.61-259690.61-0.01-259690.61-259690.61-259690.61-259690.61-259690.61-259690.61-259690.61-259690.61-259690.61-259690.61-0.01-259690.61-259690.61-259690.61-259690.61-259690.61-259690.61-259690.61-259690.61-259690.61-259690.61-259690.61-0.01-259690.61-259690.61-259690.61-259690.61-259690.61-259690.61-259690.61-0.01-259690.61-259690.61-259690.61-259690.61-259690.61</f>
        <v>22593083.170000046</v>
      </c>
      <c r="F33" s="126">
        <f>' DEUDA MUNICIPIOS NO AVALADOS'!B57</f>
        <v>259690.61</v>
      </c>
      <c r="G33" s="126">
        <f>' DEUDA MUNICIPIOS NO AVALADOS'!C57</f>
        <v>93340.88</v>
      </c>
      <c r="H33" s="126">
        <f>F33+G33</f>
        <v>353031.49</v>
      </c>
    </row>
    <row r="34" spans="1:11" ht="12.75">
      <c r="A34" s="5"/>
      <c r="B34" s="65"/>
      <c r="C34" s="134"/>
      <c r="D34" s="54"/>
      <c r="E34" s="79">
        <f>SUM(E28:E33)</f>
        <v>557295803.5300002</v>
      </c>
      <c r="F34" s="79">
        <f>SUM(F28:F33)</f>
        <v>1166231.94</v>
      </c>
      <c r="G34" s="79">
        <f>SUM(G28:G33)</f>
        <v>2781646.3899999997</v>
      </c>
      <c r="H34" s="79">
        <f>SUM(H28:H33)</f>
        <v>3947878.33</v>
      </c>
      <c r="I34" s="126"/>
      <c r="J34" s="126"/>
      <c r="K34" s="126"/>
    </row>
    <row r="35" spans="1:8" ht="12.75">
      <c r="A35" s="125" t="s">
        <v>143</v>
      </c>
      <c r="B35" s="65"/>
      <c r="C35" s="65"/>
      <c r="D35" s="54"/>
      <c r="E35" s="135"/>
      <c r="F35" s="126"/>
      <c r="G35" s="126"/>
      <c r="H35" s="126"/>
    </row>
    <row r="36" spans="1:8" ht="12.75">
      <c r="A36" s="5" t="s">
        <v>144</v>
      </c>
      <c r="B36" s="65" t="s">
        <v>232</v>
      </c>
      <c r="C36" s="134">
        <v>46446</v>
      </c>
      <c r="D36" s="54"/>
      <c r="E36" s="54">
        <f>53341089-52111-52788-53475-54170-54874-56310-55587-57042-57783-58535-59296-60066-60847-61638-63251-63251-64907-64907-65750-66605-67471-68348-69237-70137-71048-71972-72908+1644-73856-74816-75788-76774-77772-78783-79807-80844-81895-82960-84038-85131-86238-87359-88494-89645-90810-91991-93187-94398-95625-96868-98128-99403-100695-102004-104674-103331-106035-107413-108809-110224-111657-113108-114579-116068-117577-119106-120654-122223-123812-125421-127052-128703-130376-132071-133788-135527-137289-139074-140882-142713-144569-146448</f>
        <v>45937927</v>
      </c>
      <c r="F36" s="126">
        <f>' DEUDA MUNICIPIOS NO AVALADOS'!B89</f>
        <v>146448</v>
      </c>
      <c r="G36" s="126">
        <f>' DEUDA MUNICIPIOS NO AVALADOS'!C89</f>
        <v>218524.43</v>
      </c>
      <c r="H36" s="126">
        <f>F36+G36</f>
        <v>364972.43</v>
      </c>
    </row>
    <row r="37" spans="1:8" ht="12.75">
      <c r="A37" s="5" t="s">
        <v>145</v>
      </c>
      <c r="B37" s="65" t="s">
        <v>206</v>
      </c>
      <c r="C37" s="134">
        <v>45321</v>
      </c>
      <c r="D37" s="54"/>
      <c r="E37" s="54">
        <f>15000000-89285.71-89285.71-89285.71-89285.71-89285.71-89285.71-89285.71-89285.71-89285.71-89285.71-89285.71-89285.71-89285.71-89285.71-89285.71-89285.71-89285.71-89285.71-89285.71-89285.71-89285.71-89285.71-89285.71-89285.71-89285.71-89285.71-0.12-89285.71-89285.71-89285.71-89285.71+89285.83-89285.71-89285.71-89285.71-89285.71-89285.71+713.85-89285.71-90000-89285.71-89285.71-89285.71+0.44-89285.71-89285.71-89285.71-89285.71-89285.71-89285.71-89285.71-89285.71-89285.71-89285.71-89285.71-89285.71-89285.71-89285.71-89285.71-89285.71-89285.71-89285.71-0.03-89285.71-89285.71-89285.71-89285.71-89285.71-89285.71-89285.71-89285.71-89285.71-89285.71-89285.71+0.03-89285.71-89285.71-89285.71-89285.71-89285.71-89285.71-89285.71-89285.71-89285.71-89285.71-89285.71-89285.71</f>
        <v>7857143.199999934</v>
      </c>
      <c r="F37" s="126">
        <f>' DEUDA MUNICIPIOS NO AVALADOS'!B90</f>
        <v>89285.71</v>
      </c>
      <c r="G37" s="126">
        <f>' DEUDA MUNICIPIOS NO AVALADOS'!C90</f>
        <v>32421.43</v>
      </c>
      <c r="H37" s="126">
        <f>F37+G37</f>
        <v>121707.14000000001</v>
      </c>
    </row>
    <row r="38" spans="1:8" ht="12.75">
      <c r="A38" s="5" t="s">
        <v>146</v>
      </c>
      <c r="B38" s="65" t="s">
        <v>206</v>
      </c>
      <c r="C38" s="134">
        <v>45557</v>
      </c>
      <c r="D38" s="54"/>
      <c r="E38" s="54">
        <f>10000000-59523.81-59523.81-59523.81-59523.81-59523.81-59523.81-59523.81-59523.81-59523.81-59523.81-59523.81-59523.81-59523.81-59523.81-59523.81-59523.81-59523.81-59523.81-59523.81-59523.81-59523.81-59523.81+0.01-59523.81-59523.81-59523.81-59523.81-59523.81-59523.81-59523.81-59523.81-59523.81-59523.81+0.01-59523.81-59523.81-59523.81-59523.81-59523.81-59523.81-59523.81-59523.81-59523.81-59523.81-59523.81-59523.81-59523.81-59523.81-59523.81-59523.81-59523.81-59523.81-59523.81-59523.81-59523.81-59523.81-59523.81-59523.81-59523.81-59523.81-59523.81-59523.81+0.01-59523.81-59523.81-59523.81-59523.81-59523.81-59523.81-59523.81-59523.81-59523.81-59523.81-59523.81-59523.81</f>
        <v>5714285.710000004</v>
      </c>
      <c r="F38" s="126">
        <f>' DEUDA MUNICIPIOS NO AVALADOS'!B91</f>
        <v>59523.81</v>
      </c>
      <c r="G38" s="126">
        <f>' DEUDA MUNICIPIOS NO AVALADOS'!C91</f>
        <v>23582.8</v>
      </c>
      <c r="H38" s="126">
        <f>F38+G38</f>
        <v>83106.61</v>
      </c>
    </row>
    <row r="39" spans="1:8" ht="12.75">
      <c r="A39" s="5" t="str">
        <f>'[1] DEUDA MUNICIPIOS NO AVALADOS'!A84</f>
        <v>BANSI 315 MDP 2013</v>
      </c>
      <c r="B39" s="65" t="s">
        <v>233</v>
      </c>
      <c r="C39" s="134">
        <v>48815</v>
      </c>
      <c r="D39" s="54"/>
      <c r="E39" s="54">
        <f>315000000-61665-61665-61665-61665-61665-61665-61665-61665-61665-61665-61665-61665-61665-61665-61665-61665-61665-61665-61665-61665-61665-61665-61665-61665-71665-71665-71665-71665-71665-71665-71665-71665-71665-71665-71665-71665-71665</f>
        <v>312588395</v>
      </c>
      <c r="F39" s="126">
        <f>' DEUDA MUNICIPIOS NO AVALADOS'!B92</f>
        <v>71665</v>
      </c>
      <c r="G39" s="126">
        <f>' DEUDA MUNICIPIOS NO AVALADOS'!C92</f>
        <v>2220946.91</v>
      </c>
      <c r="H39" s="126">
        <f>F39+G39</f>
        <v>2292611.91</v>
      </c>
    </row>
    <row r="40" spans="1:11" ht="12.75">
      <c r="A40" s="5"/>
      <c r="B40" s="65"/>
      <c r="C40" s="134"/>
      <c r="D40" s="54"/>
      <c r="E40" s="79">
        <f>SUM(E36:E39)</f>
        <v>372097750.90999997</v>
      </c>
      <c r="F40" s="79">
        <f>SUM(F36:F39)</f>
        <v>366922.52</v>
      </c>
      <c r="G40" s="79">
        <f>SUM(G36:G39)</f>
        <v>2495475.5700000003</v>
      </c>
      <c r="H40" s="79">
        <f>SUM(H36:H39)</f>
        <v>2862398.0900000003</v>
      </c>
      <c r="I40" s="126"/>
      <c r="J40" s="126"/>
      <c r="K40" s="126"/>
    </row>
    <row r="41" spans="1:5" ht="13.5">
      <c r="A41" s="125" t="s">
        <v>81</v>
      </c>
      <c r="B41" s="65"/>
      <c r="C41" s="134"/>
      <c r="D41" s="54"/>
      <c r="E41" s="135"/>
    </row>
    <row r="42" spans="1:8" ht="12.75">
      <c r="A42" s="5" t="s">
        <v>103</v>
      </c>
      <c r="B42" s="65">
        <v>4.0091</v>
      </c>
      <c r="C42" s="134">
        <v>45961</v>
      </c>
      <c r="D42" s="54"/>
      <c r="E42" s="126">
        <f>36516145.89-97937.1-98736.58-99136.33-99935.81-100335.56-101135.04-101534.78-102334.27-103133.76-103533.5-104332.99-104732.73-105532.22-106331.7-106731.45-107530.93-108330.42-108730.16-109529.65-110329.14-111128.62-111528.37-112327.85-113127.34-113926.83-114326.57-115126.06-115925.54-116725.03-117524.51-117924.26-118723.74-119523.23-120322.72-121122.2-121921.69-122721.18-123520.66-124320.15-124719.89-125519.38-126318.87-127118.35-127917.84-128717.33-129516.81-130316.3-131115.79-132315.01-133114.5-133913.99-134713.47-135512.96-136312.45-137111.93-137911.42-138710.91-139910.14-140709.62-141509.11-142308.6-143108.08-144307.31-145106.8-145906.29-146705.77-147905-148704.49-149503.97-150703.2-151502.69-152302.18-153501.41-154300.89-0.47-155500.12-156299.61-157099.1-158298.33+0.47-159097.81-160297.04-161096.53+0.07-162295.76</f>
        <v>26065658.24</v>
      </c>
      <c r="F42" s="126">
        <f>' DEUDA MUNICIPIOS NO AVALADOS'!B7</f>
        <v>162295.76</v>
      </c>
      <c r="G42" s="126">
        <f>' DEUDA MUNICIPIOS NO AVALADOS'!C7</f>
        <v>97675.09</v>
      </c>
      <c r="H42" s="126">
        <f aca="true" t="shared" si="0" ref="H42:H47">F42+G42</f>
        <v>259970.85</v>
      </c>
    </row>
    <row r="43" spans="1:9" ht="12.75">
      <c r="A43" s="5" t="str">
        <f>'[1] DEUDA MUNICIPIOS NO AVALADOS'!A8</f>
        <v>BANSI 30 MDP</v>
      </c>
      <c r="B43" s="327" t="s">
        <v>207</v>
      </c>
      <c r="C43" s="134">
        <v>48791</v>
      </c>
      <c r="D43" s="54"/>
      <c r="E43" s="328">
        <f>30077866-30000-30000-30000-30000-30000-30000-30000-30000-30000-30000-30000-30000-30000-30000-30000-45112-45494-45880-46269-46661-47057-47456-47859-48265-48675-49088-49505-49925-50349-50777-51208-51643-52082-52524-52971</f>
        <v>28649066</v>
      </c>
      <c r="F43" s="126">
        <f>' DEUDA MUNICIPIOS NO AVALADOS'!B8</f>
        <v>52971</v>
      </c>
      <c r="G43" s="126">
        <f>' DEUDA MUNICIPIOS NO AVALADOS'!C8</f>
        <v>249448.37</v>
      </c>
      <c r="H43" s="126">
        <f t="shared" si="0"/>
        <v>302419.37</v>
      </c>
      <c r="I43" s="141"/>
    </row>
    <row r="44" spans="1:9" ht="12.75">
      <c r="A44" s="5" t="str">
        <f>'[1] DEUDA MUNICIPIOS NO AVALADOS'!A9</f>
        <v>BANSI 7 MDP</v>
      </c>
      <c r="B44" s="327" t="s">
        <v>207</v>
      </c>
      <c r="C44" s="134">
        <v>48791</v>
      </c>
      <c r="D44" s="54"/>
      <c r="E44" s="273">
        <f>7000000-9072-9150-9229-9309-9389-9470-9552-9634-9717-9801-9886-9971-10057-10144-10231-10319-10408-10498-10589-10680-10772-10865-10959-11053-11149-11245-11342-11440-11538-11638-11738-11839-11942-12045-12148</f>
        <v>6631181</v>
      </c>
      <c r="F44" s="126">
        <f>' DEUDA MUNICIPIOS NO AVALADOS'!B9</f>
        <v>12148</v>
      </c>
      <c r="G44" s="126">
        <f>' DEUDA MUNICIPIOS NO AVALADOS'!C9</f>
        <v>57736.95</v>
      </c>
      <c r="H44" s="126">
        <f t="shared" si="0"/>
        <v>69884.95</v>
      </c>
      <c r="I44" s="141"/>
    </row>
    <row r="45" spans="1:8" ht="12.75">
      <c r="A45" s="5" t="str">
        <f>'[1] DEUDA MUNICIPIOS NO AVALADOS'!A10</f>
        <v>INTERACCIONES 70.1 MDP 2013 379849</v>
      </c>
      <c r="B45" s="327" t="s">
        <v>208</v>
      </c>
      <c r="C45" s="134">
        <v>48807</v>
      </c>
      <c r="D45" s="149">
        <v>2104425</v>
      </c>
      <c r="E45" s="126">
        <f>70147500-403950-404209-404468-404727-404987-405247-405506-405766-406027-406287-406548-406808-407069-407330</f>
        <v>64468571</v>
      </c>
      <c r="F45" s="126">
        <f>' DEUDA MUNICIPIOS NO AVALADOS'!B10</f>
        <v>407330</v>
      </c>
      <c r="G45" s="126">
        <f>' DEUDA MUNICIPIOS NO AVALADOS'!C10</f>
        <v>503869.5</v>
      </c>
      <c r="H45" s="126">
        <f t="shared" si="0"/>
        <v>911199.5</v>
      </c>
    </row>
    <row r="46" spans="1:8" ht="12.75">
      <c r="A46" s="5" t="str">
        <f>'[1] DEUDA MUNICIPIOS NO AVALADOS'!A11</f>
        <v>BANSI 70 MDP 2014</v>
      </c>
      <c r="B46" s="327" t="s">
        <v>209</v>
      </c>
      <c r="C46" s="134">
        <v>49080</v>
      </c>
      <c r="D46" s="54"/>
      <c r="E46" s="126">
        <f>70000000-158000-158000-158000-158000-158000-158000-158000-158000-158000-158000-158000-158000-158000-158000-158000-158000-158000</f>
        <v>67314000</v>
      </c>
      <c r="F46" s="126">
        <f>' DEUDA MUNICIPIOS NO AVALADOS'!B11</f>
        <v>158000</v>
      </c>
      <c r="G46" s="126">
        <f>' DEUDA MUNICIPIOS NO AVALADOS'!C11</f>
        <v>586501.64</v>
      </c>
      <c r="H46" s="126">
        <f t="shared" si="0"/>
        <v>744501.64</v>
      </c>
    </row>
    <row r="47" spans="1:8" ht="12.75">
      <c r="A47" s="5" t="str">
        <f>'[1] DEUDA MUNICIPIOS NO AVALADOS'!A12</f>
        <v>BANSI 56 MDP 2014</v>
      </c>
      <c r="B47" s="327" t="s">
        <v>209</v>
      </c>
      <c r="C47" s="134">
        <v>49080</v>
      </c>
      <c r="D47" s="54"/>
      <c r="E47" s="126">
        <f>55968000-127000-127000-127000-127000-127000-127000-127000-127000-127000-127000-127000-127000-127000-127000-127000-127000-127000</f>
        <v>53809000</v>
      </c>
      <c r="F47" s="126">
        <f>' DEUDA MUNICIPIOS NO AVALADOS'!B12</f>
        <v>127000</v>
      </c>
      <c r="G47" s="126">
        <f>' DEUDA MUNICIPIOS NO AVALADOS'!C12</f>
        <v>468839.69</v>
      </c>
      <c r="H47" s="126">
        <f t="shared" si="0"/>
        <v>595839.69</v>
      </c>
    </row>
    <row r="48" spans="1:8" ht="12.75">
      <c r="A48" s="5"/>
      <c r="B48" s="65"/>
      <c r="C48" s="134"/>
      <c r="D48" s="54"/>
      <c r="E48" s="79"/>
      <c r="F48" s="126"/>
      <c r="G48" s="126"/>
      <c r="H48" s="126"/>
    </row>
    <row r="49" spans="1:8" ht="15.75" customHeight="1">
      <c r="A49" s="125" t="s">
        <v>105</v>
      </c>
      <c r="B49" s="65"/>
      <c r="C49" s="134"/>
      <c r="D49" s="54"/>
      <c r="E49" s="54"/>
      <c r="F49" s="126"/>
      <c r="G49" s="126"/>
      <c r="H49" s="126"/>
    </row>
    <row r="50" spans="1:8" ht="14.25" customHeight="1">
      <c r="A50" s="5" t="s">
        <v>106</v>
      </c>
      <c r="B50" s="65" t="s">
        <v>206</v>
      </c>
      <c r="C50" s="134">
        <v>46047</v>
      </c>
      <c r="D50" s="54"/>
      <c r="E50" s="54">
        <f>7000000-41666.67-41666.67-41666.67-41666.67-41666.67-41666.67-41666.67-41666.67-41666.67-41666.67-41666.67+27777.77-38888.89-27777.81-38888.89-38888.89+0.08-38888.89-38888.89-38888.89+30555.69-38888.89-38888.89-38888.89-38888.89-38888.89-38888.89-38888.89-38888.89-35879.63-35879.63-35879.63-35879.63-35879.63-35879.63-35879.63-35879.63-35879.63-35879.63-35879.63-35879.63-35879.63-35879.63-35879.63-35879.63-35879.63-35879.63-35879.63-35879.63-35879.63-35879.63-35879.63-35879.63-35879.63-35879.63-35879.63-35879.63-35879.63-35879.63</f>
        <v>4951389.000000009</v>
      </c>
      <c r="F50" s="126">
        <f>' DEUDA MUNICIPIOS NO AVALADOS'!B15</f>
        <v>35879.63</v>
      </c>
      <c r="G50" s="126">
        <f>' DEUDA MUNICIPIOS NO AVALADOS'!C15</f>
        <v>19733.65</v>
      </c>
      <c r="H50" s="126">
        <f>F50+G50</f>
        <v>55613.28</v>
      </c>
    </row>
    <row r="51" spans="1:9" ht="12.75">
      <c r="A51" s="5" t="s">
        <v>107</v>
      </c>
      <c r="B51" s="65" t="s">
        <v>206</v>
      </c>
      <c r="C51" s="134">
        <v>43557</v>
      </c>
      <c r="D51" s="54"/>
      <c r="E51" s="54">
        <f>10000000-250000-83333.33-83333.33-83333.33-83333.33-83333.33-83333.33-83333.33-83333.33-83333.33-83333.33-83333.33-83333.33-83333.33-92592.59-92592.59-92592.59-0.03-92592.59-92592.59-92592.59-0.01-94315.25-94315.25-215.31-94422.91+215.32-94422.91-29206.49-92592.59-92592.59+0.05-92592.59-94008.23-94008.23-94008.23-188016.46-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-94008.23-94008.23</f>
        <v>2914255.5699999873</v>
      </c>
      <c r="F51" s="126">
        <f>' DEUDA MUNICIPIOS NO AVALADOS'!B16</f>
        <v>94008.23</v>
      </c>
      <c r="G51" s="126">
        <f>' DEUDA MUNICIPIOS NO AVALADOS'!C16</f>
        <v>11879.8</v>
      </c>
      <c r="H51" s="126">
        <f>F51+G51</f>
        <v>105888.03</v>
      </c>
      <c r="I51" s="141"/>
    </row>
    <row r="52" spans="1:8" ht="12.75">
      <c r="A52" s="5"/>
      <c r="B52" s="65"/>
      <c r="C52" s="134"/>
      <c r="D52" s="54"/>
      <c r="E52" s="79">
        <f>SUM(E42:E51)</f>
        <v>254803120.81</v>
      </c>
      <c r="F52" s="79">
        <f>SUM(F42:F51)</f>
        <v>1049632.62</v>
      </c>
      <c r="G52" s="79">
        <f>SUM(G42:G51)</f>
        <v>1995684.6899999997</v>
      </c>
      <c r="H52" s="79">
        <f>SUM(H42:H51)</f>
        <v>3045317.3099999996</v>
      </c>
    </row>
    <row r="53" spans="1:27" s="63" customFormat="1" ht="12.75">
      <c r="A53" s="125" t="s">
        <v>184</v>
      </c>
      <c r="B53" s="68"/>
      <c r="C53" s="68"/>
      <c r="D53" s="1"/>
      <c r="E53" s="74"/>
      <c r="F53" s="126"/>
      <c r="G53" s="126"/>
      <c r="H53" s="1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s="63" customFormat="1" ht="12.75">
      <c r="A54" s="5" t="s">
        <v>185</v>
      </c>
      <c r="B54" s="68" t="s">
        <v>378</v>
      </c>
      <c r="C54" s="104">
        <v>47087</v>
      </c>
      <c r="D54" s="1"/>
      <c r="E54" s="74">
        <f>112500000-0-0-0-0-346725-379237.5+0.5-352687.5-0.5-355500-417150-361912.5-393975-368100-400050+0.5-374400</f>
        <v>108750263</v>
      </c>
      <c r="F54" s="126">
        <f>' DEUDA MUNICIPIOS NO AVALADOS'!B161</f>
        <v>374400</v>
      </c>
      <c r="G54" s="126">
        <f>' DEUDA MUNICIPIOS NO AVALADOS'!C161</f>
        <v>844806.76</v>
      </c>
      <c r="H54" s="126">
        <f>F54+G54</f>
        <v>1219206.76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63" customFormat="1" ht="12.75">
      <c r="A55" s="1"/>
      <c r="B55" s="68"/>
      <c r="C55" s="68"/>
      <c r="D55" s="1"/>
      <c r="E55" s="74"/>
      <c r="F55" s="126"/>
      <c r="G55" s="126"/>
      <c r="H55" s="1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8" ht="12.75">
      <c r="A56" s="125" t="s">
        <v>187</v>
      </c>
      <c r="B56" s="65"/>
      <c r="C56" s="134"/>
      <c r="D56" s="54"/>
      <c r="E56" s="135"/>
      <c r="F56" s="126"/>
      <c r="G56" s="126"/>
      <c r="H56" s="126"/>
    </row>
    <row r="57" spans="1:8" ht="12.75">
      <c r="A57" s="5" t="s">
        <v>188</v>
      </c>
      <c r="B57" s="68" t="s">
        <v>379</v>
      </c>
      <c r="C57" s="134">
        <v>43738</v>
      </c>
      <c r="D57" s="54"/>
      <c r="E57" s="54">
        <f>67190800-409180-411640-413280-415740-417380-419840-421480-423940-426400-428040-430500-432140-434600-437060-438700-441160-443620-446080-447720-450180-452640-454280-456740-459200-461660-464120-465760-468220-470680-473140-475600-478060-480520-482980-485440-487900-490360-492820-495280-497740-500200-502660-505120-507580-510040-512500-514960-517420-519880-523160-525620-528080-530540-533000-536280-538740-541200-544480-546940-549400-552680-555140-557600-560880-563340-566620-569080-571540-574820-577280-580560-583840-586300-589580-592040-595320-597780-601060-604340-606800-610080</f>
        <v>26424500</v>
      </c>
      <c r="F57" s="126">
        <f>' DEUDA MUNICIPIOS NO AVALADOS'!B164</f>
        <v>610080</v>
      </c>
      <c r="G57" s="126">
        <f>' DEUDA MUNICIPIOS NO AVALADOS'!C164</f>
        <v>119923.15</v>
      </c>
      <c r="H57" s="126">
        <f>F57+G57</f>
        <v>730003.15</v>
      </c>
    </row>
    <row r="58" spans="1:8" ht="12.75">
      <c r="A58" s="5" t="s">
        <v>189</v>
      </c>
      <c r="B58" s="68" t="s">
        <v>380</v>
      </c>
      <c r="C58" s="134">
        <v>44985</v>
      </c>
      <c r="D58" s="54"/>
      <c r="E58" s="54">
        <f>16920000-108457.2-108457.2-108457.2-108457.2-108457.2-108457.2-108457.2-108457.2-108457.2-108457.2-108457.2-108457.2-108457.2-108457.2-108457.2-108457.2-108457.2-108457.2-108457.2-108457.2-1084557.2+887643.2-108457.2-108457.2-10000-108457.2-10000-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-108457.2-0.2-108457.2+0.2-108457.2-108457.2-108457.2-108457.2-108457.2-108457.2-108457.2</f>
        <v>8351881.600000056</v>
      </c>
      <c r="F58" s="126">
        <f>' DEUDA MUNICIPIOS NO AVALADOS'!B165</f>
        <v>108457.2</v>
      </c>
      <c r="G58" s="126">
        <f>' DEUDA MUNICIPIOS NO AVALADOS'!C165</f>
        <v>69445.28</v>
      </c>
      <c r="H58" s="126">
        <f>F58+G58</f>
        <v>177902.47999999998</v>
      </c>
    </row>
    <row r="59" spans="1:8" ht="12.75">
      <c r="A59" s="5"/>
      <c r="B59" s="65"/>
      <c r="C59" s="134"/>
      <c r="D59" s="54"/>
      <c r="E59" s="179">
        <f>SUM(E54:E58)</f>
        <v>143526644.60000005</v>
      </c>
      <c r="F59" s="179">
        <f>SUM(F54:F58)</f>
        <v>1092937.2</v>
      </c>
      <c r="G59" s="179">
        <f>SUM(G54:G58)</f>
        <v>1034175.1900000001</v>
      </c>
      <c r="H59" s="179">
        <f>SUM(H54:H58)</f>
        <v>2127112.39</v>
      </c>
    </row>
    <row r="60" spans="1:27" s="63" customFormat="1" ht="12.75">
      <c r="A60" s="125" t="s">
        <v>169</v>
      </c>
      <c r="B60" s="65"/>
      <c r="C60" s="65"/>
      <c r="D60" s="54"/>
      <c r="E60" s="54"/>
      <c r="F60" s="126"/>
      <c r="G60" s="126"/>
      <c r="H60" s="1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s="63" customFormat="1" ht="12.75">
      <c r="A61" s="5" t="s">
        <v>170</v>
      </c>
      <c r="B61" s="159" t="s">
        <v>245</v>
      </c>
      <c r="C61" s="134">
        <v>48883</v>
      </c>
      <c r="D61" s="54">
        <v>4489950</v>
      </c>
      <c r="E61" s="54">
        <f>149384604-282078-283771-285473-287186-288909-290643-292387-294141-295906-297681-299467-301264-303072-304890-306719-308560-310411-312274-314147-316032-317928-319836-321755-323685-325628-327581-329547-331524-333513-335514-337527-339553-341590-343639</f>
        <v>138780773</v>
      </c>
      <c r="F61" s="126">
        <f>' DEUDA MUNICIPIOS NO AVALADOS'!B132</f>
        <v>343639</v>
      </c>
      <c r="G61" s="126">
        <f>' DEUDA MUNICIPIOS NO AVALADOS'!C132</f>
        <v>741417.3</v>
      </c>
      <c r="H61" s="126">
        <f>F61+G61</f>
        <v>1085056.3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63" customFormat="1" ht="12.75">
      <c r="A62" s="5"/>
      <c r="B62" s="65"/>
      <c r="C62" s="65"/>
      <c r="D62" s="54"/>
      <c r="E62" s="79">
        <f>SUM(E61)</f>
        <v>138780773</v>
      </c>
      <c r="F62" s="79">
        <f>SUM(F61)</f>
        <v>343639</v>
      </c>
      <c r="G62" s="79">
        <f>SUM(G61)</f>
        <v>741417.3</v>
      </c>
      <c r="H62" s="79">
        <f>SUM(H61)</f>
        <v>1085056.3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11" ht="14.25" customHeight="1">
      <c r="A63" s="125" t="str">
        <f>'[1] DEUDA MUNICIPIOS NO AVALADOS'!A97</f>
        <v>HUATABAMPO</v>
      </c>
      <c r="B63" s="65"/>
      <c r="C63" s="65"/>
      <c r="D63" s="54"/>
      <c r="E63" s="54"/>
      <c r="F63" s="126"/>
      <c r="G63" s="126"/>
      <c r="H63" s="126"/>
      <c r="I63" s="126"/>
      <c r="J63" s="126"/>
      <c r="K63" s="126"/>
    </row>
    <row r="64" spans="1:11" ht="14.25" customHeight="1">
      <c r="A64" s="5" t="str">
        <f>'[1] DEUDA MUNICIPIOS NO AVALADOS'!A99</f>
        <v>BANOBRAS 11129 68 MDP</v>
      </c>
      <c r="B64" s="65" t="s">
        <v>238</v>
      </c>
      <c r="C64" s="134">
        <v>48858</v>
      </c>
      <c r="D64" s="54"/>
      <c r="E64" s="54">
        <f>65858629.91-119041.78-119867.88-120699.71-121537.32-122380.74-123230.01-124085.17-124946.27-125813.35-126686.44-127565.59-128450.84-129342.24-130239.82-131143.63-132053.71-132970.11-133892.87-134822.03-135757.63-136699.74-137648.38-138603.6-139565.45-140533.98</f>
        <v>62621051.61999997</v>
      </c>
      <c r="F64" s="126">
        <f>' DEUDA MUNICIPIOS NO AVALADOS'!B106</f>
        <v>140533.98</v>
      </c>
      <c r="G64" s="126">
        <f>' DEUDA MUNICIPIOS NO AVALADOS'!C106</f>
        <v>471365.66</v>
      </c>
      <c r="H64" s="126">
        <f>F64+G64</f>
        <v>611899.64</v>
      </c>
      <c r="I64" s="126"/>
      <c r="J64" s="126"/>
      <c r="K64" s="126"/>
    </row>
    <row r="65" spans="5:8" ht="12.75">
      <c r="E65" s="178">
        <f>SUM(E64)</f>
        <v>62621051.61999997</v>
      </c>
      <c r="F65" s="178">
        <f>SUM(F64)</f>
        <v>140533.98</v>
      </c>
      <c r="G65" s="178">
        <f>SUM(G64)</f>
        <v>471365.66</v>
      </c>
      <c r="H65" s="178">
        <f>SUM(H64)</f>
        <v>611899.64</v>
      </c>
    </row>
    <row r="66" spans="1:8" ht="12.75">
      <c r="A66" s="125" t="s">
        <v>90</v>
      </c>
      <c r="B66" s="65"/>
      <c r="C66" s="65"/>
      <c r="D66" s="54"/>
      <c r="E66" s="54"/>
      <c r="F66" s="126"/>
      <c r="G66" s="126"/>
      <c r="H66" s="126"/>
    </row>
    <row r="67" spans="1:8" ht="12.75">
      <c r="A67" s="5" t="s">
        <v>248</v>
      </c>
      <c r="B67" s="65" t="s">
        <v>206</v>
      </c>
      <c r="C67" s="134">
        <v>44552</v>
      </c>
      <c r="D67" s="339"/>
      <c r="E67" s="54">
        <f>46130952.35-29823436.53-295956.33+235128.9-293096.24-294155.78-294780.91-293825.45-290466.29-289630.43</f>
        <v>14490733.290000003</v>
      </c>
      <c r="F67" s="126">
        <f>' DEUDA MUNICIPIOS NO AVALADOS'!B153</f>
        <v>289630.43</v>
      </c>
      <c r="G67" s="126">
        <f>' DEUDA MUNICIPIOS NO AVALADOS'!C153</f>
        <v>60369.57</v>
      </c>
      <c r="H67" s="126">
        <f>F67+G67</f>
        <v>350000</v>
      </c>
    </row>
    <row r="68" spans="1:8" ht="12.75">
      <c r="A68" s="324" t="s">
        <v>396</v>
      </c>
      <c r="B68" s="159" t="s">
        <v>305</v>
      </c>
      <c r="C68" s="134">
        <v>44043</v>
      </c>
      <c r="D68" s="340">
        <v>3800000</v>
      </c>
      <c r="E68" s="162">
        <f>42920000+55080000-82957-83952-84959</f>
        <v>97748132</v>
      </c>
      <c r="F68" s="126">
        <f>' DEUDA MUNICIPIOS NO AVALADOS'!B154</f>
        <v>84959</v>
      </c>
      <c r="G68" s="126">
        <f>' DEUDA MUNICIPIOS NO AVALADOS'!C154</f>
        <v>1108367.4</v>
      </c>
      <c r="H68" s="126">
        <f>F68+G68</f>
        <v>1193326.4</v>
      </c>
    </row>
    <row r="69" spans="5:8" ht="12.75">
      <c r="E69" s="178"/>
      <c r="F69" s="126"/>
      <c r="G69" s="126"/>
      <c r="H69" s="126"/>
    </row>
    <row r="70" spans="2:8" s="129" customFormat="1" ht="12.75">
      <c r="B70" s="180"/>
      <c r="C70" s="181"/>
      <c r="D70" s="177"/>
      <c r="E70" s="179">
        <f>SUM(E67:E69)</f>
        <v>112238865.29</v>
      </c>
      <c r="F70" s="179">
        <f>SUM(F67:F69)</f>
        <v>374589.43</v>
      </c>
      <c r="G70" s="179">
        <f>SUM(G67:G69)</f>
        <v>1168736.97</v>
      </c>
      <c r="H70" s="179">
        <f>SUM(H67:H69)</f>
        <v>1543326.4</v>
      </c>
    </row>
    <row r="71" spans="1:11" ht="12.75">
      <c r="A71" s="125" t="s">
        <v>120</v>
      </c>
      <c r="B71" s="65"/>
      <c r="C71" s="134"/>
      <c r="D71" s="54"/>
      <c r="E71" s="54"/>
      <c r="F71" s="126"/>
      <c r="G71" s="126"/>
      <c r="H71" s="126"/>
      <c r="I71" s="126"/>
      <c r="J71" s="126"/>
      <c r="K71" s="126"/>
    </row>
    <row r="72" spans="1:11" ht="12.75">
      <c r="A72" s="5" t="str">
        <f>'[1] DEUDA MUNICIPIOS NO AVALADOS'!A46</f>
        <v>397 BANOBRAS / CABORCA C.S. 9119</v>
      </c>
      <c r="B72" s="158" t="s">
        <v>218</v>
      </c>
      <c r="C72" s="134">
        <v>43038</v>
      </c>
      <c r="D72" s="54"/>
      <c r="E72" s="273">
        <f>5600000-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-66666.67-66666.67</f>
        <v>866666.4300000049</v>
      </c>
      <c r="F72" s="126">
        <f>' DEUDA MUNICIPIOS NO AVALADOS'!B47</f>
        <v>66666.67</v>
      </c>
      <c r="G72" s="126">
        <f>' DEUDA MUNICIPIOS NO AVALADOS'!C47</f>
        <v>6047.87</v>
      </c>
      <c r="H72" s="126">
        <f>F72+G72</f>
        <v>72714.54</v>
      </c>
      <c r="I72" s="126"/>
      <c r="J72" s="126"/>
      <c r="K72" s="126"/>
    </row>
    <row r="73" spans="1:11" ht="12.75">
      <c r="A73" s="5" t="str">
        <f>'[1] DEUDA MUNICIPIOS NO AVALADOS'!A47</f>
        <v>M008 BANOBRAS / CABORCA C.S  21 MDP 8925</v>
      </c>
      <c r="B73" s="327" t="s">
        <v>219</v>
      </c>
      <c r="C73" s="134">
        <v>47676</v>
      </c>
      <c r="D73" s="54"/>
      <c r="E73" s="273">
        <f>19848628.07-35824.74-36073.71-36324.42-36576.88-36831.08-37087.05-37344.81-37604.35-37865.7-38128.86-38393.85-38660.69-38929.37-39199.93-39472.37-39746.7-40022.93-40301.09-40581.18-40863.21-41147.21-41433.18-41721.14-42011.1-42303.07-42597.07-42893.12-43191.22-43491.4-43793.66-44098.02-44404.5-44713.11-45023.86-45336.77-45651.86-45969.13-46288.62-46610.32-46934.25-47260.44-47588.9-47919.64-48252.68-48588.03-48925.71-49265.74-49608.13-49952.91-50300.07-50649.66-51001.67-51356.12-51713.05-52072.45-52434.35-52798.76-53165.71-53535.2-53907.27-54281.92-54659.18</f>
        <v>17083944.94999999</v>
      </c>
      <c r="F73" s="126">
        <f>' DEUDA MUNICIPIOS NO AVALADOS'!B48</f>
        <v>54659.18</v>
      </c>
      <c r="G73" s="126">
        <f>' DEUDA MUNICIPIOS NO AVALADOS'!C48</f>
        <v>118065.94</v>
      </c>
      <c r="H73" s="126">
        <f>F73+G73</f>
        <v>172725.12</v>
      </c>
      <c r="I73" s="126"/>
      <c r="J73" s="126"/>
      <c r="K73" s="126"/>
    </row>
    <row r="74" spans="1:11" ht="12.75">
      <c r="A74" s="5" t="str">
        <f>'[1] DEUDA MUNICIPIOS NO AVALADOS'!A49</f>
        <v>INTERACCIONES 372001 45 MDP</v>
      </c>
      <c r="B74" s="274" t="s">
        <v>220</v>
      </c>
      <c r="C74" s="134">
        <v>43616</v>
      </c>
      <c r="D74" s="54">
        <v>3500000</v>
      </c>
      <c r="E74" s="54">
        <f>45413293-736516-737461-738407-739354-740302-741252-742203-743155-744108-745062-746018-746975-747933-748892-749853-750815-751778-752742-753708-754674-755642-756612-757582-758554-759527-760501-761476-762453-763431-764410-765391</f>
        <v>22136506</v>
      </c>
      <c r="F74" s="126">
        <f>' DEUDA MUNICIPIOS NO AVALADOS'!B49</f>
        <v>765391</v>
      </c>
      <c r="G74" s="126">
        <f>' DEUDA MUNICIPIOS NO AVALADOS'!C49</f>
        <v>194189.1</v>
      </c>
      <c r="H74" s="126">
        <f>F74+G74</f>
        <v>959580.1</v>
      </c>
      <c r="I74" s="126"/>
      <c r="J74" s="126"/>
      <c r="K74" s="126"/>
    </row>
    <row r="75" spans="1:11" ht="12.75">
      <c r="A75" s="5"/>
      <c r="B75" s="65"/>
      <c r="C75" s="134"/>
      <c r="D75" s="54"/>
      <c r="E75" s="79">
        <f>SUM(E72:E74)</f>
        <v>40087117.379999995</v>
      </c>
      <c r="F75" s="79">
        <f>SUM(F72:F74)</f>
        <v>886716.85</v>
      </c>
      <c r="G75" s="79">
        <f>SUM(G72:G74)</f>
        <v>318302.91000000003</v>
      </c>
      <c r="H75" s="79">
        <f>SUM(H72:H74)</f>
        <v>1205019.76</v>
      </c>
      <c r="I75" s="126"/>
      <c r="J75" s="126"/>
      <c r="K75" s="126"/>
    </row>
    <row r="76" spans="1:11" ht="12.75">
      <c r="A76" s="125" t="s">
        <v>136</v>
      </c>
      <c r="B76" s="65"/>
      <c r="C76" s="65"/>
      <c r="D76" s="54"/>
      <c r="E76" s="54"/>
      <c r="F76" s="126"/>
      <c r="G76" s="126"/>
      <c r="H76" s="126"/>
      <c r="I76" s="126"/>
      <c r="J76" s="126"/>
      <c r="K76" s="126"/>
    </row>
    <row r="77" spans="1:11" ht="12.75">
      <c r="A77" s="5" t="str">
        <f>'[1] DEUDA MUNICIPIOS NO AVALADOS'!A72</f>
        <v>M0009 BANOBRAS/EMPALME C.S. 13.250 MDP 9100</v>
      </c>
      <c r="B77" s="327" t="s">
        <v>228</v>
      </c>
      <c r="C77" s="134">
        <v>45891</v>
      </c>
      <c r="D77" s="54"/>
      <c r="E77" s="273">
        <f>12318241.32-39714.39-39981.96-40251.33-40522.52-40795.54-41070.4-41347.11-41625.68-41906.13-42188.47-42472.71-42758.87-43046.95-43336.98-43628.95-43922.9-44218.83-44516.75-44816.68-45118.63-45422.61-45728.64-46036.73-46346.9-46659.16-46973.52-47290-47608.61-47929.37-48252.29-48577.39-48904.68-49234.17-49565.88-49899.82-50236.02-50574.48-50915.22-51258.26-51603.61-51951.28-52301.3-52653.67-53008.42-53365.56-53725.11-54087.08-54451.49-54818.35-55187.68-55559.5-55933.83-56310.68-56690.07-57072.02-57456.53-57843.64-58233.36-58625.7</f>
        <v>9452706.910000002</v>
      </c>
      <c r="F77" s="126">
        <f>' DEUDA MUNICIPIOS NO AVALADOS'!B73</f>
        <v>58625.7</v>
      </c>
      <c r="G77" s="126">
        <f>' DEUDA MUNICIPIOS NO AVALADOS'!C73</f>
        <v>59801.19</v>
      </c>
      <c r="H77" s="126">
        <f>F77+G77</f>
        <v>118426.89</v>
      </c>
      <c r="I77" s="126"/>
      <c r="J77" s="126"/>
      <c r="K77" s="126"/>
    </row>
    <row r="78" spans="1:11" ht="12.75">
      <c r="A78" s="5" t="str">
        <f>' DEUDA MUNICIPIOS NO AVALADOS'!A74</f>
        <v>FINTEGRA 31 MDP 2015</v>
      </c>
      <c r="B78" s="158" t="s">
        <v>357</v>
      </c>
      <c r="C78" s="134">
        <v>46538</v>
      </c>
      <c r="D78" s="54"/>
      <c r="E78" s="273">
        <f>30800000-50000-50000-50000-50000-50000-50000-50000-50000-163157.85-163973.64-164793.51-165617.48</f>
        <v>29742457.519999996</v>
      </c>
      <c r="F78" s="126">
        <f>' DEUDA MUNICIPIOS NO AVALADOS'!B74</f>
        <v>165617.48</v>
      </c>
      <c r="G78" s="126">
        <f>' DEUDA MUNICIPIOS NO AVALADOS'!C74</f>
        <v>305311.6</v>
      </c>
      <c r="H78" s="126">
        <f>F78+G78</f>
        <v>470929.07999999996</v>
      </c>
      <c r="I78" s="126"/>
      <c r="J78" s="126"/>
      <c r="K78" s="126"/>
    </row>
    <row r="79" spans="1:11" ht="12.75">
      <c r="A79" s="5"/>
      <c r="B79" s="65"/>
      <c r="C79" s="134"/>
      <c r="D79" s="54"/>
      <c r="E79" s="79">
        <f>SUM(E77:E78)</f>
        <v>39195164.43</v>
      </c>
      <c r="F79" s="126"/>
      <c r="G79" s="126"/>
      <c r="H79" s="126"/>
      <c r="I79" s="126"/>
      <c r="J79" s="126"/>
      <c r="K79" s="126"/>
    </row>
    <row r="80" spans="1:8" ht="12.75">
      <c r="A80" s="125" t="s">
        <v>115</v>
      </c>
      <c r="B80" s="65"/>
      <c r="C80" s="65"/>
      <c r="D80" s="5"/>
      <c r="E80" s="154"/>
      <c r="F80" s="126"/>
      <c r="G80" s="126"/>
      <c r="H80" s="126"/>
    </row>
    <row r="81" spans="1:11" ht="12.75">
      <c r="A81" s="5" t="s">
        <v>211</v>
      </c>
      <c r="B81" s="327" t="s">
        <v>212</v>
      </c>
      <c r="C81" s="134">
        <v>46538</v>
      </c>
      <c r="D81" s="54"/>
      <c r="E81" s="273">
        <f>3621822.81-11998.24-12075.76-12153.77-12232.29-12311.32-12390.85-12470.9-12551.47-12632.56-12714.17-12796.31-12878.98-12962.18-13045.92-13130.2-13215.03-13300.4-13386.33-13472.81-13559.85-13647.45-13735.62-13824.36-13913.67-14003.56-14094.03-14185.08-14276.72-14368.96-14461.79-14555.22-14649.25-14743.89-14839.14-14935.01-15031.49-15128.6-15226.34-15324.71-15423.71-15523.36</f>
        <v>3060651.5099999993</v>
      </c>
      <c r="F81" s="126">
        <f>' DEUDA MUNICIPIOS NO AVALADOS'!B34</f>
        <v>15523.36</v>
      </c>
      <c r="G81" s="126">
        <f>' DEUDA MUNICIPIOS NO AVALADOS'!C34</f>
        <v>20118.61</v>
      </c>
      <c r="H81" s="126">
        <f>F81+G81</f>
        <v>35641.97</v>
      </c>
      <c r="I81" s="52"/>
      <c r="J81" s="52"/>
      <c r="K81" s="52"/>
    </row>
    <row r="82" spans="1:11" ht="12.75">
      <c r="A82" s="5" t="s">
        <v>116</v>
      </c>
      <c r="B82" s="65" t="s">
        <v>206</v>
      </c>
      <c r="C82" s="134" t="s">
        <v>213</v>
      </c>
      <c r="D82" s="54"/>
      <c r="E82" s="54">
        <f>1500000-8928.57-8928.57-8928.57-8928.57-8928.57-8928.57-8928.57-8928.57-8928.57-8928.57-8928.57-8928.57-8928.57-8928.57-8928.57-8928.57-8928.57-8928.57-8928.57-8928.57-8928.57-8928.57-8928.57-8928.57-8928.57-0.04-8928.57-8928.57-8928.57-8928.57-8928.57-8928.57-8928.57-8928.57-8928.57-0.01-8928.57-8928.57-8928.57-8928.57-8928.57-8928.57-0.01-8928.57-8928.57-8928.57-8928.57-8928.57-8928.57-8928.57-8928.57-8928.57-8928.57-8928.57-8928.57-8928.57-8928.57-8928.57-8928.57-8928.57-8928.57-8928.57-8928.57-8928.57-8928.57-8928.57-0.03-8928.57-8928.57-8928.57-8928.57-0.01-8928.57-8928.57-8928.57-8928.57-8928.57-8928.57-8928.57-8928.57</f>
        <v>830357.1499999979</v>
      </c>
      <c r="F82" s="126">
        <f>' DEUDA MUNICIPIOS NO AVALADOS'!B32</f>
        <v>8928.57</v>
      </c>
      <c r="G82" s="126">
        <f>' DEUDA MUNICIPIOS NO AVALADOS'!C32</f>
        <v>3315.4</v>
      </c>
      <c r="H82" s="126">
        <f>F82+G82</f>
        <v>12243.97</v>
      </c>
      <c r="I82" s="52"/>
      <c r="J82" s="52"/>
      <c r="K82" s="52"/>
    </row>
    <row r="83" spans="1:11" ht="12.75">
      <c r="A83" s="5" t="str">
        <f>'[1] DEUDA MUNICIPIOS NO AVALADOS'!A33</f>
        <v>M0022 BANOBRAS/BACUM 7,5MDP  10584</v>
      </c>
      <c r="B83" s="65" t="s">
        <v>214</v>
      </c>
      <c r="C83" s="134">
        <v>43677</v>
      </c>
      <c r="D83" s="54"/>
      <c r="E83" s="273">
        <f>7500000-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-89285.71-89285.71</f>
        <v>2946428.790000002</v>
      </c>
      <c r="F83" s="126">
        <f>' DEUDA MUNICIPIOS NO AVALADOS'!B33</f>
        <v>89285.71</v>
      </c>
      <c r="G83" s="126">
        <f>' DEUDA MUNICIPIOS NO AVALADOS'!C33</f>
        <v>19200.47</v>
      </c>
      <c r="H83" s="126">
        <f>F83+G83</f>
        <v>108486.18000000001</v>
      </c>
      <c r="I83" s="52"/>
      <c r="J83" s="52"/>
      <c r="K83" s="52"/>
    </row>
    <row r="84" spans="1:11" ht="12.75">
      <c r="A84" s="5" t="str">
        <f>' DEUDA MUNICIPIOS NO AVALADOS'!A35</f>
        <v>INTERACCIONES  2014 </v>
      </c>
      <c r="B84" s="65" t="s">
        <v>215</v>
      </c>
      <c r="C84" s="134">
        <v>45412</v>
      </c>
      <c r="D84" s="54"/>
      <c r="E84" s="54">
        <f>17184088-78892-79917-80956-82007-83075-84154-85248-86357-87479-88616-89769-90936-92118</f>
        <v>16074564</v>
      </c>
      <c r="F84" s="126">
        <f>' DEUDA MUNICIPIOS NO AVALADOS'!B35</f>
        <v>92118</v>
      </c>
      <c r="G84" s="126">
        <f>' DEUDA MUNICIPIOS NO AVALADOS'!C35</f>
        <v>203363</v>
      </c>
      <c r="H84" s="126">
        <f>F84+G84</f>
        <v>295481</v>
      </c>
      <c r="I84" s="52"/>
      <c r="J84" s="52"/>
      <c r="K84" s="52"/>
    </row>
    <row r="85" spans="1:11" ht="12.75">
      <c r="A85" s="127" t="s">
        <v>117</v>
      </c>
      <c r="B85" s="68" t="s">
        <v>215</v>
      </c>
      <c r="C85" s="104">
        <v>45810</v>
      </c>
      <c r="D85" s="75">
        <v>867000</v>
      </c>
      <c r="E85" s="75">
        <f>7966667-33333-66666-66666-66666-66666-66666-66666-66666-66666-66666-66666-66666-66666-66666-66666-66666</f>
        <v>6933344</v>
      </c>
      <c r="F85" s="126">
        <f>' DEUDA MUNICIPIOS NO AVALADOS'!B36</f>
        <v>66666</v>
      </c>
      <c r="G85" s="126">
        <f>' DEUDA MUNICIPIOS NO AVALADOS'!C36</f>
        <v>88054.2</v>
      </c>
      <c r="H85" s="126">
        <f>F85+G85</f>
        <v>154720.2</v>
      </c>
      <c r="I85" s="52"/>
      <c r="J85" s="52"/>
      <c r="K85" s="52"/>
    </row>
    <row r="86" spans="1:11" ht="12.75">
      <c r="A86" s="127"/>
      <c r="C86" s="104"/>
      <c r="D86" s="75"/>
      <c r="E86" s="79">
        <f>SUM(E81:E85)</f>
        <v>29845345.45</v>
      </c>
      <c r="F86" s="79">
        <f>SUM(F81:F85)</f>
        <v>272521.64</v>
      </c>
      <c r="G86" s="79">
        <f>SUM(G81:G85)</f>
        <v>334051.68</v>
      </c>
      <c r="H86" s="79">
        <f>SUM(H81:H85)</f>
        <v>606573.3200000001</v>
      </c>
      <c r="I86" s="52"/>
      <c r="J86" s="52"/>
      <c r="K86" s="52"/>
    </row>
    <row r="87" spans="1:8" ht="12.75">
      <c r="A87" s="125" t="str">
        <f>' DEUDA MUNICIPIOS NO AVALADOS'!A170</f>
        <v>SAN IGNACIO RIO MUERTO</v>
      </c>
      <c r="E87" s="3"/>
      <c r="F87" s="126"/>
      <c r="G87" s="126"/>
      <c r="H87" s="126"/>
    </row>
    <row r="88" spans="1:8" ht="12.75">
      <c r="A88" s="127" t="str">
        <f>' DEUDA MUNICIPIOS NO AVALADOS'!A171</f>
        <v>Fintegra 30 mdp 2014</v>
      </c>
      <c r="B88" s="68" t="s">
        <v>357</v>
      </c>
      <c r="C88" s="104">
        <v>46265</v>
      </c>
      <c r="E88" s="3">
        <f>29659955.03-160845.2-161649.42-162457.67-163269.96-164086.31-164906.74-165731.27-166559.93-167392.73-168229.69-169070.84-169916.2</f>
        <v>27675839.07</v>
      </c>
      <c r="F88" s="126">
        <f>' DEUDA MUNICIPIOS NO AVALADOS'!B171</f>
        <v>169916.2</v>
      </c>
      <c r="G88" s="126">
        <f>' DEUDA MUNICIPIOS NO AVALADOS'!C171</f>
        <v>284258.75</v>
      </c>
      <c r="H88" s="126">
        <f>F88+G88</f>
        <v>454174.95</v>
      </c>
    </row>
    <row r="89" spans="1:11" ht="12.75">
      <c r="A89" s="5"/>
      <c r="B89" s="65"/>
      <c r="C89" s="134"/>
      <c r="D89" s="54"/>
      <c r="E89" s="79">
        <f>SUM(E88)</f>
        <v>27675839.07</v>
      </c>
      <c r="F89" s="79">
        <f>SUM(F88)</f>
        <v>169916.2</v>
      </c>
      <c r="G89" s="79">
        <f>SUM(G88)</f>
        <v>284258.75</v>
      </c>
      <c r="H89" s="79">
        <f>SUM(H88)</f>
        <v>454174.95</v>
      </c>
      <c r="I89" s="126"/>
      <c r="J89" s="126"/>
      <c r="K89" s="126"/>
    </row>
    <row r="90" spans="1:8" ht="12.75">
      <c r="A90" s="125" t="s">
        <v>159</v>
      </c>
      <c r="B90" s="65"/>
      <c r="C90" s="134"/>
      <c r="D90" s="54"/>
      <c r="E90" s="54"/>
      <c r="F90" s="126"/>
      <c r="G90" s="126"/>
      <c r="H90" s="126"/>
    </row>
    <row r="91" spans="1:8" ht="12.75">
      <c r="A91" s="5" t="str">
        <f>'[1] DEUDA MUNICIPIOS NO AVALADOS'!A104</f>
        <v>FFRES 0038-13</v>
      </c>
      <c r="B91" s="65" t="s">
        <v>206</v>
      </c>
      <c r="C91" s="134">
        <v>46954</v>
      </c>
      <c r="D91" s="54"/>
      <c r="E91" s="54">
        <f>891484.74-16666.67-16666.67+313328.44-16666.67+341013.94-16666.67+113965.71-16666.67-16666.67+190035.01+0.01-16666.67-16666.67-16666.67-16666.67+0.01+1032148.11-16666.67-16666.67-16666.67+87268.33-16666.67+0.04-16666.67+0.01-16666.67-16666.67-16666.67-16666.67-16666.67-16666.67-16666.67-16666.67-16666.67-16666.67-16666.67-16666.67+0.04-16666.67-16666.67-16666.67-16666.67-16666.67+0.01-16666.67-16666.67+0.01-16666.67-16666.67-16666.67-16666.67-16666.67+0.02</f>
        <v>2319244.300000002</v>
      </c>
      <c r="F91" s="126">
        <f>' DEUDA MUNICIPIOS NO AVALADOS'!B109</f>
        <v>16666.67</v>
      </c>
      <c r="G91" s="126">
        <f>' DEUDA MUNICIPIOS NO AVALADOS'!C109</f>
        <v>9242.75</v>
      </c>
      <c r="H91" s="126">
        <f>F91+G91</f>
        <v>25909.42</v>
      </c>
    </row>
    <row r="92" spans="1:8" ht="12.75">
      <c r="A92" s="5" t="str">
        <f>' DEUDA MUNICIPIOS NO AVALADOS'!A110</f>
        <v>FINTEGRA 15MDP 2014</v>
      </c>
      <c r="B92" s="68" t="s">
        <v>357</v>
      </c>
      <c r="C92" s="134">
        <v>46265</v>
      </c>
      <c r="D92" s="54"/>
      <c r="E92" s="54">
        <f>14800138.52-80260.78-80662.09-81065.4-81470.72-81878.08-82287.47-82698.91-83112.4-83527.96-83945.6-84365.33-84787.16</f>
        <v>13810076.619999997</v>
      </c>
      <c r="F92" s="126">
        <f>' DEUDA MUNICIPIOS NO AVALADOS'!B110</f>
        <v>84787.16</v>
      </c>
      <c r="G92" s="126">
        <f>' DEUDA MUNICIPIOS NO AVALADOS'!C110</f>
        <v>141843.4</v>
      </c>
      <c r="H92" s="126">
        <f>F92+G92</f>
        <v>226630.56</v>
      </c>
    </row>
    <row r="93" spans="1:8" ht="12.75">
      <c r="A93" s="5"/>
      <c r="B93" s="65"/>
      <c r="C93" s="134"/>
      <c r="D93" s="54"/>
      <c r="E93" s="79">
        <f>SUM(E91:E92)</f>
        <v>16129320.92</v>
      </c>
      <c r="F93" s="79">
        <f>SUM(F91:F92)</f>
        <v>101453.83</v>
      </c>
      <c r="G93" s="79">
        <f>SUM(G91:G92)</f>
        <v>151086.15</v>
      </c>
      <c r="H93" s="79">
        <f>SUM(H91:H92)</f>
        <v>252539.97999999998</v>
      </c>
    </row>
    <row r="94" spans="1:8" ht="12.75">
      <c r="A94" s="5"/>
      <c r="B94" s="65"/>
      <c r="C94" s="134"/>
      <c r="D94" s="54"/>
      <c r="E94" s="79"/>
      <c r="F94" s="79"/>
      <c r="G94" s="79"/>
      <c r="H94" s="79"/>
    </row>
    <row r="95" spans="1:11" ht="12.75">
      <c r="A95" s="125" t="s">
        <v>141</v>
      </c>
      <c r="B95" s="65"/>
      <c r="C95" s="65"/>
      <c r="D95" s="54"/>
      <c r="E95" s="54"/>
      <c r="F95" s="126"/>
      <c r="G95" s="126"/>
      <c r="H95" s="126"/>
      <c r="I95" s="126"/>
      <c r="J95" s="126"/>
      <c r="K95" s="126"/>
    </row>
    <row r="96" spans="1:11" ht="12.75">
      <c r="A96" s="127" t="s">
        <v>142</v>
      </c>
      <c r="B96" s="159" t="s">
        <v>231</v>
      </c>
      <c r="C96" s="134">
        <v>45574</v>
      </c>
      <c r="D96" s="54"/>
      <c r="E96" s="54">
        <f>8640560.6-75794.4-75794.4-75794.4-75794.4-75794.4-75794.4-75794-75794.4-75794.4-75794.4-75794.4-75794.4-75794.4</f>
        <v>7655233.799999995</v>
      </c>
      <c r="F96" s="126">
        <f>' DEUDA MUNICIPIOS NO AVALADOS'!B83</f>
        <v>75794.4</v>
      </c>
      <c r="G96" s="126">
        <f>' DEUDA MUNICIPIOS NO AVALADOS'!C83</f>
        <v>67753.31</v>
      </c>
      <c r="H96" s="126">
        <f>F96+G96</f>
        <v>143547.71</v>
      </c>
      <c r="I96" s="126"/>
      <c r="J96" s="126"/>
      <c r="K96" s="126"/>
    </row>
    <row r="97" spans="1:8" ht="12.75">
      <c r="A97" s="125" t="s">
        <v>355</v>
      </c>
      <c r="B97" s="65"/>
      <c r="C97" s="134"/>
      <c r="D97" s="54"/>
      <c r="E97" s="135"/>
      <c r="F97" s="126"/>
      <c r="G97" s="126"/>
      <c r="H97" s="126"/>
    </row>
    <row r="98" spans="1:8" ht="12.75">
      <c r="A98" s="5" t="s">
        <v>175</v>
      </c>
      <c r="B98" s="65" t="s">
        <v>206</v>
      </c>
      <c r="C98" s="134">
        <v>13174</v>
      </c>
      <c r="D98" s="54"/>
      <c r="E98" s="54">
        <f>10000000-59523.81-59523.81-59523.81-59523.81-59523.81-59523.81-59523.81-59523.81-59523.81-59523.81-59523.81+39682.5-55555.56-43650.75-55555.56-55555.56-55555.56-55555.56+47619-55555.56-55555.56-55555.56-55555.56-55555.56-55555.56-55555.56-55555.56-55555.56-51256.61-51256.61-51256.61-51256.61-51256.61-51256.61-51256.61-51256.61-51256.61-0-51256.61-51256.61-51256.61-51256.61-51256.61-51256.61-51256.61-51256.61-51256.61-51256.61-51256.61-51256.61-51256.61-51256.61-51256.61-51256.61-51256.61-51256.61-51256.61-51256.61-51256.61</f>
        <v>7073412.699999981</v>
      </c>
      <c r="F98" s="126">
        <f>' DEUDA MUNICIPIOS NO AVALADOS'!B86</f>
        <v>51256.61</v>
      </c>
      <c r="G98" s="126">
        <f>' DEUDA MUNICIPIOS NO AVALADOS'!C86</f>
        <v>28190.93</v>
      </c>
      <c r="H98" s="126">
        <f>F98+G98</f>
        <v>79447.54000000001</v>
      </c>
    </row>
    <row r="99" spans="5:8" ht="12.75">
      <c r="E99" s="178">
        <f>E96+E98</f>
        <v>14728646.499999976</v>
      </c>
      <c r="F99" s="178">
        <f>F96+F98</f>
        <v>127051.01</v>
      </c>
      <c r="G99" s="178">
        <f>G96+G98</f>
        <v>95944.23999999999</v>
      </c>
      <c r="H99" s="178">
        <f>H96+H98</f>
        <v>222995.25</v>
      </c>
    </row>
    <row r="100" spans="1:8" ht="12.75">
      <c r="A100" s="5"/>
      <c r="B100" s="65"/>
      <c r="C100" s="134"/>
      <c r="D100" s="54"/>
      <c r="E100" s="79"/>
      <c r="F100" s="79"/>
      <c r="G100" s="79"/>
      <c r="H100" s="79"/>
    </row>
    <row r="101" spans="1:8" ht="12.75">
      <c r="A101" s="125" t="s">
        <v>161</v>
      </c>
      <c r="B101" s="65"/>
      <c r="C101" s="134"/>
      <c r="D101" s="54"/>
      <c r="E101" s="54"/>
      <c r="F101" s="126"/>
      <c r="G101" s="126"/>
      <c r="H101" s="126"/>
    </row>
    <row r="102" spans="1:8" ht="12.75">
      <c r="A102" s="5" t="str">
        <f>'[1] DEUDA MUNICIPIOS NO AVALADOS'!A107</f>
        <v>FFRES-0037-13</v>
      </c>
      <c r="B102" s="65" t="s">
        <v>206</v>
      </c>
      <c r="C102" s="134">
        <v>46809</v>
      </c>
      <c r="D102" s="54"/>
      <c r="E102" s="54">
        <f>1897191.18-15241.67-15241.67+810529.14-15241.67-15241.67-15241.67-15241.67+0.01-15241.67-15241.67+0.01-15241.67-15241.67-15241.67-15241.67-15241.67-15241.67+0.02-15241.67-15241.67+0.01-15241.67-15241.67-15241.67-15241.67+0.01-15241.67-15241.67-15241.67-15241.67-15241.67-15241.67-15241.67-15241.67-15241.67+0.03-15241.67-15241.67-15241.67-15241.67-15241.67+0.01-15241.67-15241.67-15241.67-15241.67-15241.67-15241.67-15241.67+0.03</f>
        <v>2082811.9800000016</v>
      </c>
      <c r="F102" s="126">
        <f>' DEUDA MUNICIPIOS NO AVALADOS'!B113</f>
        <v>15241.67</v>
      </c>
      <c r="G102" s="126">
        <f>' DEUDA MUNICIPIOS NO AVALADOS'!C113</f>
        <v>8301.59</v>
      </c>
      <c r="H102" s="126">
        <f>F102+G102</f>
        <v>23543.260000000002</v>
      </c>
    </row>
    <row r="103" spans="1:8" ht="12.75">
      <c r="A103" s="5" t="str">
        <f>' DEUDA MUNICIPIOS NO AVALADOS'!A114</f>
        <v>FINTEGRA 13,560,000 2015</v>
      </c>
      <c r="B103" s="68" t="s">
        <v>357</v>
      </c>
      <c r="C103" s="134">
        <v>46505</v>
      </c>
      <c r="D103" s="54"/>
      <c r="E103" s="54">
        <f>13560000-15000-15000-15000-15000-15000-15000-49541.03-50036.44-50536.8-51042.17-51552.59</f>
        <v>13217290.97</v>
      </c>
      <c r="F103" s="126">
        <f>' DEUDA MUNICIPIOS NO AVALADOS'!B114</f>
        <v>51552.59</v>
      </c>
      <c r="G103" s="126">
        <f>' DEUDA MUNICIPIOS NO AVALADOS'!C114</f>
        <v>139967.87</v>
      </c>
      <c r="H103" s="126">
        <f>F103+G103</f>
        <v>191520.46</v>
      </c>
    </row>
    <row r="104" spans="1:8" ht="12.75">
      <c r="A104" s="5"/>
      <c r="B104" s="65"/>
      <c r="C104" s="134"/>
      <c r="D104" s="54"/>
      <c r="E104" s="79">
        <f>SUM(E102:E103)</f>
        <v>15300102.950000003</v>
      </c>
      <c r="F104" s="79">
        <f>SUM(F102:F103)</f>
        <v>66794.26</v>
      </c>
      <c r="G104" s="79">
        <f>SUM(G102:G103)</f>
        <v>148269.46</v>
      </c>
      <c r="H104" s="79">
        <f>SUM(H102:H103)</f>
        <v>215063.72</v>
      </c>
    </row>
    <row r="105" spans="1:8" ht="12.75">
      <c r="A105" s="125" t="s">
        <v>89</v>
      </c>
      <c r="B105" s="65"/>
      <c r="C105" s="134"/>
      <c r="D105" s="54"/>
      <c r="E105" s="54"/>
      <c r="F105" s="126"/>
      <c r="G105" s="126"/>
      <c r="H105" s="126"/>
    </row>
    <row r="106" spans="1:27" s="63" customFormat="1" ht="12.75">
      <c r="A106" s="5" t="s">
        <v>167</v>
      </c>
      <c r="B106" s="327" t="s">
        <v>206</v>
      </c>
      <c r="C106" s="134">
        <v>46253</v>
      </c>
      <c r="D106" s="54"/>
      <c r="E106" s="54">
        <f>1500000-8928.57-8928.57-8928.57-8928.57-25000-25000-25000-25000-25000-25000-38571.42-25000-6428.57-25000-6428.57-25000-6428.57-25000-6428.57-25000-25000-25000-25000-25000-25000-18867.92-18867.92-18867.92-18867.92-18867.92-18867.92-18867.92-18867.92-18867.92-0-18867.92-18867.92-0-18867.92-18867.92-18867.92-18867.92-18867.92-18867.92-18867.92-18867.92-18867.92-18867.92-18867.92-18867.92-18867.92-18867.92-18867.92-18867.92-18867.92-18867.92</f>
        <v>452830.33999999857</v>
      </c>
      <c r="F106" s="126">
        <f>' DEUDA MUNICIPIOS NO AVALADOS'!B127</f>
        <v>18867.92</v>
      </c>
      <c r="G106" s="126">
        <f>' DEUDA MUNICIPIOS NO AVALADOS'!C127</f>
        <v>1866.42</v>
      </c>
      <c r="H106" s="126">
        <f>F106+G106</f>
        <v>20734.339999999997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63" customFormat="1" ht="15.75" customHeight="1">
      <c r="A107" s="5" t="str">
        <f>'[1] DEUDA MUNICIPIOS NO AVALADOS'!A119</f>
        <v>M024 BANOBRAS/NACOZARI 10550 8,4 MDP</v>
      </c>
      <c r="B107" s="327" t="s">
        <v>244</v>
      </c>
      <c r="C107" s="134">
        <v>44711</v>
      </c>
      <c r="D107" s="54"/>
      <c r="E107" s="54">
        <f>8318914.89-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-71101.84-71101.84</f>
        <v>4763822.890000007</v>
      </c>
      <c r="F107" s="126">
        <f>' DEUDA MUNICIPIOS NO AVALADOS'!B128</f>
        <v>71101.84</v>
      </c>
      <c r="G107" s="126">
        <f>' DEUDA MUNICIPIOS NO AVALADOS'!C128</f>
        <v>31912.52</v>
      </c>
      <c r="H107" s="126">
        <f>F107+G107</f>
        <v>103014.36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s="63" customFormat="1" ht="15.75" customHeight="1">
      <c r="A108" s="5" t="str">
        <f>'[1] DEUDA MUNICIPIOS NO AVALADOS'!A120</f>
        <v>FFRES 0040-13 7 mdp</v>
      </c>
      <c r="B108" s="327" t="s">
        <v>206</v>
      </c>
      <c r="C108" s="134">
        <v>46887</v>
      </c>
      <c r="D108" s="54"/>
      <c r="E108" s="54">
        <f>2242233.22-38913.89-38913.89+823185.96-38913.89+618786.67+618786.67-38913.89-38913.89+789132.2-38913.89+841209.07-38913.89-38913.89+635209.56-38913.89-38913.89+347712.6-38913.89-38913.89-38913.89+96581.3-38913.89-38913.89-38913.89-38913.89-38913.89-38913.89-38913.89-38913.89-38913.89-38913.89-38913.89-38913.89-38913.89-38913.89-38913.89-38913.89-38913.89-38913.89-38913.89-38913.89-38913.89-38913.89-38913.89-38913.89-38913.89-38913.89-38913.89-38913.89-38913.89</f>
        <v>5378453.870000011</v>
      </c>
      <c r="F108" s="126">
        <f>' DEUDA MUNICIPIOS NO AVALADOS'!B129</f>
        <v>38913.89</v>
      </c>
      <c r="G108" s="126">
        <f>' DEUDA MUNICIPIOS NO AVALADOS'!C129</f>
        <v>21435.47</v>
      </c>
      <c r="H108" s="126">
        <f>F108+G108</f>
        <v>60349.36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s="63" customFormat="1" ht="12.75">
      <c r="A109" s="5"/>
      <c r="B109" s="65"/>
      <c r="C109" s="65"/>
      <c r="D109" s="54"/>
      <c r="E109" s="79">
        <f>SUM(E106:E108)</f>
        <v>10595107.100000016</v>
      </c>
      <c r="F109" s="79">
        <f>SUM(F106:F108)</f>
        <v>128883.65</v>
      </c>
      <c r="G109" s="79">
        <f>SUM(G106:G108)</f>
        <v>55214.41</v>
      </c>
      <c r="H109" s="79">
        <f>SUM(H106:H108)</f>
        <v>184098.06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11" ht="12.75">
      <c r="A110" s="125" t="s">
        <v>137</v>
      </c>
      <c r="B110" s="65"/>
      <c r="C110" s="134"/>
      <c r="D110" s="54"/>
      <c r="E110" s="54"/>
      <c r="F110" s="126"/>
      <c r="G110" s="126"/>
      <c r="H110" s="126"/>
      <c r="I110" s="126"/>
      <c r="J110" s="126"/>
      <c r="K110" s="126"/>
    </row>
    <row r="111" spans="1:11" ht="12.75">
      <c r="A111" s="5" t="s">
        <v>138</v>
      </c>
      <c r="B111" s="274" t="s">
        <v>229</v>
      </c>
      <c r="C111" s="134">
        <v>43220</v>
      </c>
      <c r="D111" s="54"/>
      <c r="E111" s="273">
        <f>25777177.1-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-260375.53-260375.53</f>
        <v>4947134.699999979</v>
      </c>
      <c r="F111" s="126">
        <f>' DEUDA MUNICIPIOS NO AVALADOS'!B77</f>
        <v>260375.53</v>
      </c>
      <c r="G111" s="126">
        <f>' DEUDA MUNICIPIOS NO AVALADOS'!C77</f>
        <v>28362.85</v>
      </c>
      <c r="H111" s="126">
        <f>F111+G111</f>
        <v>288738.38</v>
      </c>
      <c r="I111" s="126"/>
      <c r="J111" s="126"/>
      <c r="K111" s="126"/>
    </row>
    <row r="112" spans="1:8" ht="12.75">
      <c r="A112" s="5"/>
      <c r="B112" s="65"/>
      <c r="C112" s="134"/>
      <c r="D112" s="54"/>
      <c r="E112" s="179">
        <f>SUM(E111)</f>
        <v>4947134.699999979</v>
      </c>
      <c r="F112" s="179">
        <f>SUM(F111)</f>
        <v>260375.53</v>
      </c>
      <c r="G112" s="179">
        <f>SUM(G111)</f>
        <v>28362.85</v>
      </c>
      <c r="H112" s="179">
        <f>SUM(H111)</f>
        <v>288738.38</v>
      </c>
    </row>
    <row r="113" spans="1:8" ht="12.75">
      <c r="A113" s="125" t="s">
        <v>93</v>
      </c>
      <c r="F113" s="126"/>
      <c r="G113" s="126"/>
      <c r="H113" s="126"/>
    </row>
    <row r="114" spans="1:8" ht="12.75">
      <c r="A114" s="5" t="s">
        <v>252</v>
      </c>
      <c r="B114" s="65" t="s">
        <v>206</v>
      </c>
      <c r="C114" s="134">
        <v>46371</v>
      </c>
      <c r="E114" s="63">
        <f>9800000-54444.44-54444.44-54444.44-54444.44-0.02-54444.44-54444.44-54444.44-54444.44-0.02-54444.44-54444.44-54444.44-27222.22-54444.44-27222.22-0.01-54444.44-27222.22-54444.44-27222.22-0.01-53148.14-53148.14-53148.14-53148.14-53148.14-53148.14-53148.14-53148.14-53148.14-53148.14-53148.14-53148.14-53148.14-53148.14-53148.14-53148.14-53148.14+0.2-53148.14-53148.14-53148.14-53148.14-53148.14-53148.14-53148.14-53148.14-53148.14-53148.14-53148.14-53148.14-0.2</f>
        <v>7387592.840000006</v>
      </c>
      <c r="F114" s="126">
        <f>' DEUDA MUNICIPIOS NO AVALADOS'!B185</f>
        <v>53148.14</v>
      </c>
      <c r="G114" s="126">
        <f>' DEUDA MUNICIPIOS NO AVALADOS'!C185</f>
        <v>29441.57</v>
      </c>
      <c r="H114" s="126">
        <f>F114+G114</f>
        <v>82589.70999999999</v>
      </c>
    </row>
    <row r="115" spans="1:8" ht="12.75">
      <c r="A115" s="5"/>
      <c r="B115" s="65"/>
      <c r="C115" s="134"/>
      <c r="D115" s="54"/>
      <c r="E115" s="179">
        <f>SUM(E114)</f>
        <v>7387592.840000006</v>
      </c>
      <c r="F115" s="179">
        <f>SUM(F114)</f>
        <v>53148.14</v>
      </c>
      <c r="G115" s="179">
        <f>SUM(G114)</f>
        <v>29441.57</v>
      </c>
      <c r="H115" s="179">
        <f>SUM(H114)</f>
        <v>82589.70999999999</v>
      </c>
    </row>
    <row r="116" spans="1:27" s="63" customFormat="1" ht="15" customHeight="1">
      <c r="A116" s="125" t="s">
        <v>91</v>
      </c>
      <c r="B116" s="65"/>
      <c r="C116" s="134"/>
      <c r="D116" s="54"/>
      <c r="E116" s="54"/>
      <c r="F116" s="126"/>
      <c r="G116" s="126"/>
      <c r="H116" s="1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s="63" customFormat="1" ht="15.75" customHeight="1">
      <c r="A117" s="5" t="s">
        <v>193</v>
      </c>
      <c r="B117" s="65" t="s">
        <v>206</v>
      </c>
      <c r="C117" s="134">
        <v>46025</v>
      </c>
      <c r="D117" s="54"/>
      <c r="E117" s="54">
        <f>2000000-23738.66-11904.76-11904.76+11833.9-11904.76-11904.76-11904.76-0.01-11904.76-11904.76-11904.76-11904.76-11904.76-11904.77-11904.76-11904.76-11904.76-11904.76-0.01-11904.76-11904.76-10700.11-10700.11-10700.11-10700.11-10700.11-0.03-10700.11+30-10700.11-30+0.03-10700.11-10700.11-10700.11-10700.11-0-10700.11-10700.11-10700.11-10700.11-10700.11-10700.11-10700.11-10700.11-10700.11-10700.11-10700.11-10700.11-10700.11-10700.11-10700.11</f>
        <v>1507511.4299999971</v>
      </c>
      <c r="F117" s="126">
        <f>' DEUDA MUNICIPIOS NO AVALADOS'!B177</f>
        <v>10700.11</v>
      </c>
      <c r="G117" s="126">
        <f>' DEUDA MUNICIPIOS NO AVALADOS'!C177</f>
        <v>6007.27</v>
      </c>
      <c r="H117" s="126">
        <f>F117+G117</f>
        <v>16707.38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s="63" customFormat="1" ht="12.75">
      <c r="A118" s="127" t="s">
        <v>194</v>
      </c>
      <c r="B118" s="65" t="s">
        <v>206</v>
      </c>
      <c r="C118" s="134">
        <v>46056</v>
      </c>
      <c r="D118" s="54"/>
      <c r="E118" s="54">
        <f>3026076-18012.36-16811.53-16811.53-16811.53-16811.53-16811.53-16811.53+1200.81-16811.53-16811.53-16811.53-16811.53-16811.53-16811.53-16811.53-0.02-16811.53-16811.53-0.01-16811.53-16811.53-16811.53-0.01-16211.12-16211.12-16211.12-16211.12-16211.12-16211.12-16211.12-16211.12-16211.12-16211.12-16211.12-0-16211.12-16211.12-16211.12-16211.12-16211.12-16211.12-16211.12-16211.12-16211.12-16211.12-16211.12-16211.12-16211.12-16211.12-16211.12</f>
        <v>2285167.7500000014</v>
      </c>
      <c r="F118" s="126">
        <f>' DEUDA MUNICIPIOS NO AVALADOS'!B178</f>
        <v>16211.12</v>
      </c>
      <c r="G118" s="126">
        <f>' DEUDA MUNICIPIOS NO AVALADOS'!C178</f>
        <v>9106.11</v>
      </c>
      <c r="H118" s="126">
        <f>F118+G118</f>
        <v>25317.230000000003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s="63" customFormat="1" ht="12.75">
      <c r="A119" s="5" t="s">
        <v>195</v>
      </c>
      <c r="B119" s="65">
        <v>3.2975</v>
      </c>
      <c r="C119" s="134">
        <v>45189</v>
      </c>
      <c r="D119" s="54"/>
      <c r="E119" s="54">
        <f>1544872.56-28611.11-28611.11+90000-28611.11-28611.11-28611.11-28611.11-28611.11-28611.11-28611.11+760278.01-28611.11+694849.43-28611.11-28611.11-28611.11-28611.11-28611.11-28611.11-28611.11-28611.11-28611.11-28611.11-28611.11-28611.11-28611.11-28611.11</f>
        <v>2403333.3600000013</v>
      </c>
      <c r="F119" s="126">
        <f>' DEUDA MUNICIPIOS NO AVALADOS'!B179</f>
        <v>28611.11</v>
      </c>
      <c r="G119" s="126">
        <f>' DEUDA MUNICIPIOS NO AVALADOS'!C179</f>
        <v>14659.22</v>
      </c>
      <c r="H119" s="126">
        <f>F119+G119</f>
        <v>43270.33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s="63" customFormat="1" ht="12.75">
      <c r="A120" s="1"/>
      <c r="B120" s="68"/>
      <c r="C120" s="68"/>
      <c r="D120" s="1"/>
      <c r="E120" s="178">
        <f>SUM(E117:E119)</f>
        <v>6196012.54</v>
      </c>
      <c r="F120" s="178">
        <f>SUM(F117:F119)</f>
        <v>55522.340000000004</v>
      </c>
      <c r="G120" s="178">
        <f>SUM(G117:G119)</f>
        <v>29772.6</v>
      </c>
      <c r="H120" s="178">
        <f>SUM(H117:H119)</f>
        <v>85294.94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8" ht="12.75">
      <c r="A121" s="125" t="s">
        <v>202</v>
      </c>
      <c r="B121" s="65"/>
      <c r="C121" s="134"/>
      <c r="E121" s="63"/>
      <c r="F121" s="126"/>
      <c r="G121" s="126"/>
      <c r="H121" s="126"/>
    </row>
    <row r="122" spans="1:8" ht="12.75">
      <c r="A122" s="1" t="s">
        <v>203</v>
      </c>
      <c r="B122" s="342">
        <v>0.07</v>
      </c>
      <c r="C122" s="134">
        <v>46588</v>
      </c>
      <c r="E122" s="63">
        <f>2759621.27-44871.79-44871.79+1783085.91+741685.51-44871.79+1022817.92-44871.79+682847.22-44871.79-44871.79-44871.79-44871.79-44871.79-44871.79-44871.79-44871.79-44871.79-44871.79-44871.79-44871.79-44871.79-44871.79-44871.79-44871.79-44871.79-44871.79</f>
        <v>6002878.449999998</v>
      </c>
      <c r="F122" s="126">
        <f>' DEUDA MUNICIPIOS NO AVALADOS'!B194</f>
        <v>44871.79</v>
      </c>
      <c r="G122" s="126">
        <f>' DEUDA MUNICIPIOS NO AVALADOS'!C194</f>
        <v>36454.49</v>
      </c>
      <c r="H122" s="126">
        <f>F122+G122</f>
        <v>81326.28</v>
      </c>
    </row>
    <row r="123" spans="1:8" ht="12.75">
      <c r="A123" s="5"/>
      <c r="B123" s="65"/>
      <c r="C123" s="134"/>
      <c r="D123" s="54"/>
      <c r="E123" s="179">
        <f>SUM(E122)</f>
        <v>6002878.449999998</v>
      </c>
      <c r="F123" s="179">
        <f>SUM(F122)</f>
        <v>44871.79</v>
      </c>
      <c r="G123" s="179">
        <f>SUM(G122)</f>
        <v>36454.49</v>
      </c>
      <c r="H123" s="179">
        <f>SUM(H122)</f>
        <v>81326.28</v>
      </c>
    </row>
    <row r="124" spans="1:27" s="63" customFormat="1" ht="12.75">
      <c r="A124" s="125" t="s">
        <v>176</v>
      </c>
      <c r="B124" s="68"/>
      <c r="C124" s="68"/>
      <c r="D124" s="1"/>
      <c r="E124" s="1"/>
      <c r="F124" s="126"/>
      <c r="G124" s="126"/>
      <c r="H124" s="1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8" s="5" customFormat="1" ht="12.75">
      <c r="A125" s="5" t="s">
        <v>177</v>
      </c>
      <c r="B125" s="65" t="s">
        <v>206</v>
      </c>
      <c r="C125" s="134">
        <v>46420</v>
      </c>
      <c r="E125" s="63">
        <f>2500000-13888.89-13888.89-13888.89-13888.89-13888.89-13888.89+0.01-13888.89-13888.89-13888.89-13888.89-13888.89-13888.89-13888.89-13888.89-13888.89+0.01-13640.87-13640.87-13640.87-13640.87-13640.87-13640.87-13640.87-13640.87-13640.87-13640.87-13640.87-13640.87-13640.87-13640.87-13640.87-13640.87-13640.87-13640.87-13640.87-13640.87-13640.87-13640.87-13640.87-13640.87-13640.87-13640.87-13640.87-13640.87-13640.87</f>
        <v>1896081.4399999944</v>
      </c>
      <c r="F125" s="126">
        <f>' DEUDA MUNICIPIOS NO AVALADOS'!B143</f>
        <v>13640.87</v>
      </c>
      <c r="G125" s="126">
        <f>' DEUDA MUNICIPIOS NO AVALADOS'!C143</f>
        <v>7556.4</v>
      </c>
      <c r="H125" s="126">
        <f>F125+G125</f>
        <v>21197.27</v>
      </c>
    </row>
    <row r="126" spans="1:8" s="5" customFormat="1" ht="12.75">
      <c r="A126" s="1" t="s">
        <v>178</v>
      </c>
      <c r="B126" s="166">
        <v>0.07</v>
      </c>
      <c r="C126" s="134">
        <v>46711</v>
      </c>
      <c r="E126" s="63">
        <f>1444501.49-28846.15+1764492.91-28846.15-28846.15-28846.15-28846.15+469183-28846.15-28846.15-28846.15+817888.13-28846.15-28846.15-28846.15-28846.15-28846.15-28846.15-28846.15-28846.15-28846.15-28846.15-28846.15-28846.15-28846.15-28846.15-28846.15</f>
        <v>3832604.0800000015</v>
      </c>
      <c r="F126" s="126">
        <f>' DEUDA MUNICIPIOS NO AVALADOS'!B144</f>
        <v>28846.15</v>
      </c>
      <c r="G126" s="126">
        <f>' DEUDA MUNICIPIOS NO AVALADOS'!C144</f>
        <v>23275.96</v>
      </c>
      <c r="H126" s="126">
        <f>F126+G126</f>
        <v>52122.11</v>
      </c>
    </row>
    <row r="127" spans="1:8" s="5" customFormat="1" ht="12.75">
      <c r="A127" s="1"/>
      <c r="B127" s="166"/>
      <c r="C127" s="134"/>
      <c r="E127" s="174">
        <f>SUM(E125:E126)</f>
        <v>5728685.519999996</v>
      </c>
      <c r="F127" s="174">
        <f>SUM(F125:F126)</f>
        <v>42487.020000000004</v>
      </c>
      <c r="G127" s="174">
        <f>SUM(G125:G126)</f>
        <v>30832.36</v>
      </c>
      <c r="H127" s="174">
        <f>SUM(H125:H126)</f>
        <v>73319.38</v>
      </c>
    </row>
    <row r="128" spans="1:11" ht="12.75">
      <c r="A128" s="125" t="s">
        <v>84</v>
      </c>
      <c r="C128" s="104"/>
      <c r="D128" s="75"/>
      <c r="E128" s="75"/>
      <c r="F128" s="126"/>
      <c r="G128" s="126"/>
      <c r="H128" s="126"/>
      <c r="I128" s="52"/>
      <c r="J128" s="52"/>
      <c r="K128" s="52"/>
    </row>
    <row r="129" spans="1:11" ht="12.75">
      <c r="A129" s="127" t="s">
        <v>353</v>
      </c>
      <c r="B129" s="68" t="s">
        <v>352</v>
      </c>
      <c r="C129" s="104">
        <v>45811</v>
      </c>
      <c r="D129" s="75"/>
      <c r="E129" s="75">
        <f>6000000-31684-31929-32177-32426-32678-32931-33186-33443-33702-33964-34227-34492</f>
        <v>5603161</v>
      </c>
      <c r="F129" s="126">
        <f>' DEUDA MUNICIPIOS NO AVALADOS'!B39</f>
        <v>34492</v>
      </c>
      <c r="G129" s="126">
        <f>' DEUDA MUNICIPIOS NO AVALADOS'!C39</f>
        <v>54734.04</v>
      </c>
      <c r="H129" s="126">
        <f>F129+G129</f>
        <v>89226.04000000001</v>
      </c>
      <c r="I129" s="52"/>
      <c r="J129" s="52"/>
      <c r="K129" s="52"/>
    </row>
    <row r="130" spans="1:8" s="5" customFormat="1" ht="12.75">
      <c r="A130" s="1"/>
      <c r="B130" s="166"/>
      <c r="C130" s="134"/>
      <c r="E130" s="174">
        <f>SUM(E129)</f>
        <v>5603161</v>
      </c>
      <c r="F130" s="174">
        <f>SUM(F129)</f>
        <v>34492</v>
      </c>
      <c r="G130" s="174">
        <f>SUM(G129)</f>
        <v>54734.04</v>
      </c>
      <c r="H130" s="174">
        <f>SUM(H129)</f>
        <v>89226.04000000001</v>
      </c>
    </row>
    <row r="131" spans="1:11" ht="14.25" customHeight="1">
      <c r="A131" s="125" t="s">
        <v>87</v>
      </c>
      <c r="B131" s="65"/>
      <c r="C131" s="134"/>
      <c r="D131" s="54"/>
      <c r="E131" s="54"/>
      <c r="F131" s="126"/>
      <c r="G131" s="126"/>
      <c r="H131" s="126"/>
      <c r="I131" s="126"/>
      <c r="J131" s="126"/>
      <c r="K131" s="126"/>
    </row>
    <row r="132" spans="1:11" ht="12.75">
      <c r="A132" s="5" t="s">
        <v>135</v>
      </c>
      <c r="B132" s="65" t="s">
        <v>206</v>
      </c>
      <c r="C132" s="134">
        <v>47029</v>
      </c>
      <c r="D132" s="54"/>
      <c r="E132" s="54">
        <f>1887349.74-36111.11-0.4-36111.11+1540002.37-36111.11-36111.11+1226722-36111.11-36111.11+289877.66+1205222.34-36111.11-36111.11+352396.17-36111.11-0.01-36111.11-36111.11-36111.11-36111.11-36111.11-36111.11-36111.11-36111.11-36111.11-36111.11-36111.11-36111.11-36111.11-36111.11-36111.11-0.02-36111.11-36111.11-36111.11-36111.11-36111.11-36111.11-36111.11-36111.11-36111.11-36111.11-36111.11-36111.11-0.01</f>
        <v>5201569.879999991</v>
      </c>
      <c r="F132" s="126">
        <f>' DEUDA MUNICIPIOS NO AVALADOS'!B70</f>
        <v>36111.11</v>
      </c>
      <c r="G132" s="126">
        <f>' DEUDA MUNICIPIOS NO AVALADOS'!C70</f>
        <v>20724.49</v>
      </c>
      <c r="H132" s="126">
        <f>F132+G132</f>
        <v>56835.600000000006</v>
      </c>
      <c r="I132" s="126"/>
      <c r="J132" s="126"/>
      <c r="K132" s="126"/>
    </row>
    <row r="133" spans="1:8" s="5" customFormat="1" ht="12.75">
      <c r="A133" s="1"/>
      <c r="B133" s="166"/>
      <c r="C133" s="134"/>
      <c r="E133" s="174">
        <f>SUM(E132)</f>
        <v>5201569.879999991</v>
      </c>
      <c r="F133" s="174">
        <f>SUM(F132)</f>
        <v>36111.11</v>
      </c>
      <c r="G133" s="174">
        <f>SUM(G132)</f>
        <v>20724.49</v>
      </c>
      <c r="H133" s="174">
        <f>SUM(H132)</f>
        <v>56835.600000000006</v>
      </c>
    </row>
    <row r="134" spans="1:11" ht="12.75">
      <c r="A134" s="125" t="s">
        <v>118</v>
      </c>
      <c r="B134" s="65"/>
      <c r="C134" s="134"/>
      <c r="D134" s="54"/>
      <c r="E134" s="54"/>
      <c r="F134" s="126"/>
      <c r="G134" s="126"/>
      <c r="H134" s="126"/>
      <c r="I134" s="126"/>
      <c r="J134" s="126"/>
      <c r="K134" s="126"/>
    </row>
    <row r="135" spans="1:11" ht="12.75">
      <c r="A135" s="1" t="s">
        <v>374</v>
      </c>
      <c r="B135" s="158" t="s">
        <v>216</v>
      </c>
      <c r="C135" s="134">
        <v>43860</v>
      </c>
      <c r="D135" s="54"/>
      <c r="E135" s="273">
        <f>2480625.3-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-21201.93-21201.93</f>
        <v>848076.6899999995</v>
      </c>
      <c r="F135" s="126">
        <f>' DEUDA MUNICIPIOS NO AVALADOS'!B42</f>
        <v>21201.93</v>
      </c>
      <c r="G135" s="126">
        <f>' DEUDA MUNICIPIOS NO AVALADOS'!C42</f>
        <v>6081.93</v>
      </c>
      <c r="H135" s="126">
        <f>F135+G135</f>
        <v>27283.86</v>
      </c>
      <c r="I135" s="126"/>
      <c r="J135" s="126"/>
      <c r="K135" s="126"/>
    </row>
    <row r="136" spans="1:11" ht="12.75">
      <c r="A136" s="5" t="str">
        <f>'[1] DEUDA MUNICIPIOS NO AVALADOS'!A42</f>
        <v>M019 BANOBRAS / BENITO JUAREZ C.S 2.5MDP 10441</v>
      </c>
      <c r="B136" s="327" t="s">
        <v>216</v>
      </c>
      <c r="C136" s="134">
        <v>44499</v>
      </c>
      <c r="D136" s="54"/>
      <c r="E136" s="273">
        <f>2448220.85-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-21105.35-21105.35</f>
        <v>1287426.599999995</v>
      </c>
      <c r="F136" s="126">
        <f>' DEUDA MUNICIPIOS NO AVALADOS'!B43</f>
        <v>21105.35</v>
      </c>
      <c r="G136" s="126">
        <f>' DEUDA MUNICIPIOS NO AVALADOS'!C43</f>
        <v>9155.18</v>
      </c>
      <c r="H136" s="126">
        <f>F136+G136</f>
        <v>30260.53</v>
      </c>
      <c r="I136" s="126"/>
      <c r="J136" s="126"/>
      <c r="K136" s="126"/>
    </row>
    <row r="137" spans="1:11" ht="12.75">
      <c r="A137" s="5" t="str">
        <f>'[1] DEUDA MUNICIPIOS NO AVALADOS'!A43</f>
        <v>M021 BANOBRAS / BENITO JUAREZ C.S 4.1MDP 10440</v>
      </c>
      <c r="B137" s="327" t="s">
        <v>217</v>
      </c>
      <c r="C137" s="134">
        <v>44653</v>
      </c>
      <c r="D137" s="54"/>
      <c r="E137" s="273">
        <f>4059913.87-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-34700.12-34700.12</f>
        <v>2255507.6299999943</v>
      </c>
      <c r="F137" s="126">
        <f>' DEUDA MUNICIPIOS NO AVALADOS'!B44</f>
        <v>34700.12</v>
      </c>
      <c r="G137" s="126">
        <f>' DEUDA MUNICIPIOS NO AVALADOS'!C44</f>
        <v>15510.75</v>
      </c>
      <c r="H137" s="126">
        <f>F137+G137</f>
        <v>50210.87</v>
      </c>
      <c r="I137" s="126"/>
      <c r="J137" s="126"/>
      <c r="K137" s="126"/>
    </row>
    <row r="138" spans="1:11" ht="12.75">
      <c r="A138" s="5"/>
      <c r="B138" s="158"/>
      <c r="C138" s="134"/>
      <c r="D138" s="54"/>
      <c r="E138" s="79">
        <f>SUM(E135:E137)</f>
        <v>4391010.919999989</v>
      </c>
      <c r="F138" s="79">
        <f>SUM(F135:F137)</f>
        <v>77007.4</v>
      </c>
      <c r="G138" s="79">
        <f>SUM(G135:G137)</f>
        <v>30747.86</v>
      </c>
      <c r="H138" s="79">
        <f>SUM(H135:H137)</f>
        <v>107755.26000000001</v>
      </c>
      <c r="I138" s="126"/>
      <c r="J138" s="126"/>
      <c r="K138" s="126"/>
    </row>
    <row r="139" spans="1:11" ht="12.75">
      <c r="A139" s="125" t="s">
        <v>86</v>
      </c>
      <c r="B139" s="65"/>
      <c r="C139" s="134"/>
      <c r="D139" s="54"/>
      <c r="E139" s="54"/>
      <c r="F139" s="126"/>
      <c r="G139" s="126"/>
      <c r="H139" s="126"/>
      <c r="I139" s="126"/>
      <c r="J139" s="126"/>
      <c r="K139" s="126"/>
    </row>
    <row r="140" spans="1:11" ht="12.75">
      <c r="A140" s="5" t="s">
        <v>134</v>
      </c>
      <c r="B140" s="65" t="s">
        <v>206</v>
      </c>
      <c r="C140" s="134">
        <v>47029</v>
      </c>
      <c r="D140" s="54"/>
      <c r="E140" s="54">
        <f>1097212.75-33333.33-33333.33+608371.74-33333.33+998240.74-0.01-33333.33+1835512.79-33333.33+215791.06-33333.33+249313.3-33333.33-33333.33+582616.94-0.01-33333.33+261716.03-33333.33-0.01-33333.33+122413.62-33333.33-33333.33-0.02-33333.33-33333.33-33333.33-33333.33-33333.33-33333.33-33333.33-33333.33-33333.33-33333.33-33333.33-0.01-33333.33-33333.33-33333.33-33333.33-33333.33-0.03-33333.33-33333.33-0.01-33333.33-33333.33-33333.33-33333.33-33333.33-0.02</f>
        <v>4771188.97</v>
      </c>
      <c r="F140" s="126">
        <f>' DEUDA MUNICIPIOS NO AVALADOS'!B67</f>
        <v>33333.33</v>
      </c>
      <c r="G140" s="126">
        <f>' DEUDA MUNICIPIOS NO AVALADOS'!C67</f>
        <v>19010.56</v>
      </c>
      <c r="H140" s="126">
        <f>F140+G140</f>
        <v>52343.89</v>
      </c>
      <c r="I140" s="126"/>
      <c r="J140" s="126"/>
      <c r="K140" s="126"/>
    </row>
    <row r="141" spans="1:11" ht="12.75">
      <c r="A141" s="5"/>
      <c r="B141" s="158"/>
      <c r="C141" s="134"/>
      <c r="D141" s="54"/>
      <c r="E141" s="79">
        <f>SUM(E140)</f>
        <v>4771188.97</v>
      </c>
      <c r="F141" s="79">
        <f>SUM(F140)</f>
        <v>33333.33</v>
      </c>
      <c r="G141" s="79">
        <f>SUM(G140)</f>
        <v>19010.56</v>
      </c>
      <c r="H141" s="79">
        <f>SUM(H140)</f>
        <v>52343.89</v>
      </c>
      <c r="I141" s="126"/>
      <c r="J141" s="126"/>
      <c r="K141" s="126"/>
    </row>
    <row r="142" spans="1:8" ht="12.75">
      <c r="A142" s="125" t="str">
        <f>'[1] DEUDA MUNICIPIOS NO AVALADOS'!A176</f>
        <v>URES</v>
      </c>
      <c r="C142" s="169"/>
      <c r="F142" s="126"/>
      <c r="G142" s="126"/>
      <c r="H142" s="126"/>
    </row>
    <row r="143" spans="1:8" ht="12.75">
      <c r="A143" s="5" t="str">
        <f>'[1] DEUDA MUNICIPIOS NO AVALADOS'!A177</f>
        <v>FFRES 0035-12</v>
      </c>
      <c r="B143" s="65" t="s">
        <v>206</v>
      </c>
      <c r="C143" s="134">
        <v>46538</v>
      </c>
      <c r="E143" s="63">
        <f>6600000-36666.67-36666.67+0.01-36666.67-36666.67-36666.67-36666.67+0.01-36666.67-36666.67-36666.67+0.01-36666.67-36666.67+0.01-36666.67-36666.67-36666.67+0.01-36666.67-36666.67+0.01-36666.67-36666.67-36666.67-36666.67-36666.67+0.01-36666.67-36666.67-36666.67-36666.67+0.01-36666.67-36666.67+0.01-36666.67-36666.67-36666.67-36666.67+0.01-36666.67-36666.67-36666.67-36666.67-36666.67-36666.67-36666.67-36666.67-36666.67+0.03-36666.67-36666.67+0.01-36666.67-36666.67-36666.67+0.01-36666.67+0.01-36666.67-36666.67-36666.67-36666.67-36666.67</f>
        <v>4729999.990000001</v>
      </c>
      <c r="F143" s="126">
        <f>' DEUDA MUNICIPIOS NO AVALADOS'!B188</f>
        <v>36666.67</v>
      </c>
      <c r="G143" s="126">
        <f>' DEUDA MUNICIPIOS NO AVALADOS'!C188</f>
        <v>19420.88</v>
      </c>
      <c r="H143" s="126">
        <f>F143+G143</f>
        <v>56087.55</v>
      </c>
    </row>
    <row r="144" spans="1:11" ht="12.75">
      <c r="A144" s="5"/>
      <c r="B144" s="158"/>
      <c r="C144" s="134"/>
      <c r="D144" s="54"/>
      <c r="E144" s="79">
        <f>SUM(E143)</f>
        <v>4729999.990000001</v>
      </c>
      <c r="F144" s="79">
        <f>SUM(F143)</f>
        <v>36666.67</v>
      </c>
      <c r="G144" s="79">
        <f>SUM(G143)</f>
        <v>19420.88</v>
      </c>
      <c r="H144" s="79">
        <f>SUM(H143)</f>
        <v>56087.55</v>
      </c>
      <c r="I144" s="126"/>
      <c r="J144" s="126"/>
      <c r="K144" s="126"/>
    </row>
    <row r="145" spans="1:8" s="5" customFormat="1" ht="12.75">
      <c r="A145" s="125" t="s">
        <v>335</v>
      </c>
      <c r="B145" s="167"/>
      <c r="C145" s="134"/>
      <c r="E145" s="63"/>
      <c r="F145" s="126"/>
      <c r="G145" s="126"/>
      <c r="H145" s="126"/>
    </row>
    <row r="146" spans="1:8" s="5" customFormat="1" ht="12.75">
      <c r="A146" s="1" t="s">
        <v>345</v>
      </c>
      <c r="B146" s="167" t="s">
        <v>350</v>
      </c>
      <c r="C146" s="134">
        <v>45743</v>
      </c>
      <c r="E146" s="63">
        <f>4428157-24320-24508-24698-24890-25082-25277-25473-25670-25869-26070-26272-26475</f>
        <v>4123553</v>
      </c>
      <c r="F146" s="126">
        <f>' DEUDA MUNICIPIOS NO AVALADOS'!B147</f>
        <v>26475</v>
      </c>
      <c r="G146" s="126">
        <f>' DEUDA MUNICIPIOS NO AVALADOS'!C147</f>
        <v>35441.97</v>
      </c>
      <c r="H146" s="126">
        <f>F146+G146</f>
        <v>61916.97</v>
      </c>
    </row>
    <row r="147" spans="5:8" ht="12.75">
      <c r="E147" s="182">
        <f>SUM(E146)</f>
        <v>4123553</v>
      </c>
      <c r="F147" s="182">
        <f>SUM(F146)</f>
        <v>26475</v>
      </c>
      <c r="G147" s="182">
        <f>SUM(G146)</f>
        <v>35441.97</v>
      </c>
      <c r="H147" s="182">
        <f>SUM(H146)</f>
        <v>61916.97</v>
      </c>
    </row>
    <row r="148" spans="1:8" ht="12.75">
      <c r="A148" s="125" t="str">
        <f>'[1] DEUDA MUNICIPIOS NO AVALADOS'!A139</f>
        <v>OQUITOA</v>
      </c>
      <c r="E148" s="63"/>
      <c r="F148" s="126"/>
      <c r="G148" s="126"/>
      <c r="H148" s="126"/>
    </row>
    <row r="149" spans="1:8" ht="12.75">
      <c r="A149" s="1" t="str">
        <f>'[1] DEUDA MUNICIPIOS NO AVALADOS'!A140</f>
        <v>FFRES 0032-11</v>
      </c>
      <c r="B149" s="65" t="s">
        <v>206</v>
      </c>
      <c r="C149" s="104">
        <v>46529</v>
      </c>
      <c r="E149" s="63">
        <f>4800000-26666.67-26666.67+0.01-26666.67-26666.67-26666.67-26666.67+0.01-26666.67-26666.67-26666.67+0.01-26666.67+0.01-26666.67-26825.4-26825.4-26825.4-26825.4-26825.4-26825.4-26825.4-26825.4-26825.4-26825.4-26825.4-26825.4-26825.4-26825.4-26825.4-26825.4-26825.4-26825.4-26825.4-26825.4-26825.4-26825.4-26825.4-26825.4-26825.4-26825.4-26825.4-26825.4-26825.4</f>
        <v>3728730.0699999975</v>
      </c>
      <c r="F149" s="126">
        <f>' DEUDA MUNICIPIOS NO AVALADOS'!B150</f>
        <v>26825.4</v>
      </c>
      <c r="G149" s="126">
        <f>' DEUDA MUNICIPIOS NO AVALADOS'!C150</f>
        <v>14860</v>
      </c>
      <c r="H149" s="126">
        <f>F149+G149</f>
        <v>41685.4</v>
      </c>
    </row>
    <row r="150" spans="1:11" ht="12.75">
      <c r="A150" s="5"/>
      <c r="B150" s="158"/>
      <c r="C150" s="134"/>
      <c r="D150" s="54"/>
      <c r="E150" s="79">
        <f>SUM(E149)</f>
        <v>3728730.0699999975</v>
      </c>
      <c r="F150" s="79">
        <f>SUM(F149)</f>
        <v>26825.4</v>
      </c>
      <c r="G150" s="79">
        <f>SUM(G149)</f>
        <v>14860</v>
      </c>
      <c r="H150" s="79">
        <f>SUM(H149)</f>
        <v>41685.4</v>
      </c>
      <c r="I150" s="126"/>
      <c r="J150" s="126"/>
      <c r="K150" s="126"/>
    </row>
    <row r="151" spans="1:27" s="63" customFormat="1" ht="12.75">
      <c r="A151" s="125" t="s">
        <v>182</v>
      </c>
      <c r="B151" s="68"/>
      <c r="C151" s="68"/>
      <c r="D151" s="1"/>
      <c r="E151" s="1"/>
      <c r="F151" s="126"/>
      <c r="G151" s="126"/>
      <c r="H151" s="12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s="63" customFormat="1" ht="12.75">
      <c r="A152" s="5" t="s">
        <v>183</v>
      </c>
      <c r="B152" s="65" t="s">
        <v>206</v>
      </c>
      <c r="C152" s="104">
        <v>46257</v>
      </c>
      <c r="D152" s="1"/>
      <c r="E152" s="54">
        <f>5000000-29761.9-29761.9-29761.9-29761.9-29761.9+7936.46-27777.78-7936.46-27777.78-27777.78-27777.78-27777.78-27777.78+9921.04-27777.78-222.22-27777.78-27777.78+222.23-27777.78-27777.78-27777.78-27777.78+0.01-27777.78-26620.37-26620.37+0.01-26620.37-0.01-26620.37-0.01-26620.37-0.01+0.02-26620.37-26620.37-26620.37-26620.37-0-26620.37-0-26620.37-26620.37-26620.37-26620.37-26620.37-26620.37-26620.37-26620.37-26620.37-26620.37-26620.37-26620.37-26620.37-26620.37-26620.37-26620.37-26620.37-26620.37-26620.37-26620.37</f>
        <v>3673611.5399999917</v>
      </c>
      <c r="F152" s="126">
        <f>' DEUDA MUNICIPIOS NO AVALADOS'!B158</f>
        <v>26620.37</v>
      </c>
      <c r="G152" s="126">
        <f>' DEUDA MUNICIPIOS NO AVALADOS'!C158</f>
        <v>14641.1</v>
      </c>
      <c r="H152" s="126">
        <f>F152+G152</f>
        <v>41261.47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11" ht="12.75">
      <c r="A153" s="5"/>
      <c r="B153" s="158"/>
      <c r="C153" s="134"/>
      <c r="D153" s="54"/>
      <c r="E153" s="79">
        <f>SUM(E152)</f>
        <v>3673611.5399999917</v>
      </c>
      <c r="F153" s="79">
        <f>SUM(F152)</f>
        <v>26620.37</v>
      </c>
      <c r="G153" s="79">
        <f>SUM(G152)</f>
        <v>14641.1</v>
      </c>
      <c r="H153" s="79">
        <f>SUM(H152)</f>
        <v>41261.47</v>
      </c>
      <c r="I153" s="126"/>
      <c r="J153" s="126"/>
      <c r="K153" s="126"/>
    </row>
    <row r="154" spans="1:5" ht="15.75" customHeight="1">
      <c r="A154" s="125" t="s">
        <v>80</v>
      </c>
      <c r="B154" s="146"/>
      <c r="C154" s="146"/>
      <c r="D154" s="14"/>
      <c r="E154" s="146"/>
    </row>
    <row r="155" spans="1:8" ht="12.75">
      <c r="A155" s="5" t="str">
        <f>+'[1] DEUDA MUNICIPIOS NO AVALADOS'!A4</f>
        <v>FFRES-0019-11  3MDP</v>
      </c>
      <c r="B155" s="65" t="s">
        <v>206</v>
      </c>
      <c r="C155" s="183">
        <v>46054</v>
      </c>
      <c r="D155" s="14"/>
      <c r="E155" s="54">
        <f>4606896.51-28090.83-28090.83-28090.83-28090.83-28090.83-28090.83-28090.83-28090.83-26084.34-26084.34-26084.34-26084.34-26084.34-26084.34-26084.34-26084.34-26084.34-0-26084.34-26084.34-0-26084.34-26084.34-26084.34-26084.34-26084.34-26084.34-26084.34-26084.34-26084.34-26084.34-26084.34-26084.34-26084.34-26084.34-26084.34-26084.34-26084.34-26084.34</f>
        <v>3625724.0100000035</v>
      </c>
      <c r="F155" s="54">
        <f>' DEUDA MUNICIPIOS NO AVALADOS'!B4</f>
        <v>26084.34</v>
      </c>
      <c r="G155" s="54">
        <f>' DEUDA MUNICIPIOS NO AVALADOS'!C4</f>
        <v>14449.5</v>
      </c>
      <c r="H155" s="63">
        <f>F155+G155</f>
        <v>40533.84</v>
      </c>
    </row>
    <row r="156" spans="1:8" ht="12.75">
      <c r="A156" s="5"/>
      <c r="B156" s="65"/>
      <c r="C156" s="183"/>
      <c r="D156" s="14"/>
      <c r="E156" s="79">
        <f>SUM(E155)</f>
        <v>3625724.0100000035</v>
      </c>
      <c r="F156" s="79">
        <f>SUM(F155)</f>
        <v>26084.34</v>
      </c>
      <c r="G156" s="79">
        <f>SUM(G155)</f>
        <v>14449.5</v>
      </c>
      <c r="H156" s="79">
        <f>SUM(H155)</f>
        <v>40533.84</v>
      </c>
    </row>
    <row r="157" spans="1:8" ht="12.75">
      <c r="A157" s="125" t="s">
        <v>341</v>
      </c>
      <c r="B157" s="65"/>
      <c r="C157" s="134"/>
      <c r="D157" s="79"/>
      <c r="E157" s="162"/>
      <c r="F157" s="126"/>
      <c r="G157" s="126"/>
      <c r="H157" s="126"/>
    </row>
    <row r="158" spans="1:8" ht="12.75">
      <c r="A158" s="127" t="s">
        <v>351</v>
      </c>
      <c r="B158" s="159" t="s">
        <v>352</v>
      </c>
      <c r="C158" s="134">
        <v>45743</v>
      </c>
      <c r="D158" s="79"/>
      <c r="E158" s="162">
        <f>3444122-18915-19062-19210-19359-19509-19660-19812-19966-20120-20276-20433-20592</f>
        <v>3207208</v>
      </c>
      <c r="F158" s="126">
        <f>' DEUDA MUNICIPIOS NO AVALADOS'!B124</f>
        <v>20592</v>
      </c>
      <c r="G158" s="126">
        <f>' DEUDA MUNICIPIOS NO AVALADOS'!C124</f>
        <v>27565.96</v>
      </c>
      <c r="H158" s="126">
        <f>F158+G158</f>
        <v>48157.96</v>
      </c>
    </row>
    <row r="159" spans="1:8" ht="12.75">
      <c r="A159" s="5"/>
      <c r="B159" s="65"/>
      <c r="C159" s="134"/>
      <c r="D159" s="79"/>
      <c r="E159" s="175">
        <f>SUM(E158)</f>
        <v>3207208</v>
      </c>
      <c r="F159" s="175">
        <f>SUM(F158)</f>
        <v>20592</v>
      </c>
      <c r="G159" s="175">
        <f>SUM(G158)</f>
        <v>27565.96</v>
      </c>
      <c r="H159" s="175">
        <f>SUM(H158)</f>
        <v>48157.96</v>
      </c>
    </row>
    <row r="160" spans="1:8" ht="12.75">
      <c r="A160" s="125" t="s">
        <v>92</v>
      </c>
      <c r="B160" s="65"/>
      <c r="C160" s="134"/>
      <c r="D160" s="54"/>
      <c r="E160" s="54"/>
      <c r="F160" s="126"/>
      <c r="G160" s="126"/>
      <c r="H160" s="126"/>
    </row>
    <row r="161" spans="1:8" ht="12.75">
      <c r="A161" s="5" t="s">
        <v>192</v>
      </c>
      <c r="B161" s="65" t="s">
        <v>206</v>
      </c>
      <c r="C161" s="134">
        <v>43561</v>
      </c>
      <c r="D161" s="54" t="s">
        <v>123</v>
      </c>
      <c r="E161" s="54">
        <f>5519706-32855.39-32855.39-32855.39-32855.39-32855.39-32855.39-32855.39-32855.39-32855.39-32855.39-32855.39-32855.39-32855.39-32855.39-32855.39-32855.39-32855.39-32855.39-32855.39-32855.39-32855.39-32855.39-32855.39-32855.39-32855.39-32855.39-32855.39-32855.39-0.08-32855.39-32855.39-32855.39-32855.39-0.01-32855.39-32855.39-0.01-32855.39-32855.39-32855.39-0.01-32855.39-32855.39-32855.39-32855.39-0.01-32855.39-32855.39-32855.39-32855.39-0.01-32855.39-32855.39-32855.39-32855.39-0.01-32855.39-32855.39-32855.39-32855.39-32855.39-32855.39-32855.39-32855.39-32855.39-32855.39-32855.39-32855.39-32855.39-32855.39-32855.39-32855.39-32855.39-0.05-32855.39-32855.39-32855.39-32855.39-32855.39-0.01-32855.39-32855.39-0.01-32855.39-32855.39-32855.39-32855.39-32855.39</f>
        <v>2956985.3700000104</v>
      </c>
      <c r="F161" s="126">
        <f>' DEUDA MUNICIPIOS NO AVALADOS'!B174</f>
        <v>32855.39</v>
      </c>
      <c r="G161" s="126">
        <f>' DEUDA MUNICIPIOS NO AVALADOS'!C174</f>
        <v>12198.55</v>
      </c>
      <c r="H161" s="126">
        <f>F161+G161</f>
        <v>45053.94</v>
      </c>
    </row>
    <row r="162" spans="1:8" ht="12.75">
      <c r="A162" s="5"/>
      <c r="B162" s="65"/>
      <c r="C162" s="134"/>
      <c r="D162" s="54" t="s">
        <v>98</v>
      </c>
      <c r="E162" s="79">
        <f>SUM(E161)</f>
        <v>2956985.3700000104</v>
      </c>
      <c r="F162" s="79">
        <f>SUM(F161)</f>
        <v>32855.39</v>
      </c>
      <c r="G162" s="79">
        <f>SUM(G161)</f>
        <v>12198.55</v>
      </c>
      <c r="H162" s="79">
        <f>SUM(H161)</f>
        <v>45053.94</v>
      </c>
    </row>
    <row r="163" spans="1:8" ht="12.75">
      <c r="A163" s="125" t="str">
        <f>'[1] DEUDA MUNICIPIOS NO AVALADOS'!A109</f>
        <v>MAZATAN</v>
      </c>
      <c r="B163" s="65"/>
      <c r="C163" s="134"/>
      <c r="D163" s="54"/>
      <c r="E163" s="54"/>
      <c r="F163" s="126"/>
      <c r="G163" s="126"/>
      <c r="H163" s="126"/>
    </row>
    <row r="164" spans="1:8" ht="12.75">
      <c r="A164" s="5" t="str">
        <f>'[1] DEUDA MUNICIPIOS NO AVALADOS'!A110</f>
        <v>FFRES 0048-13</v>
      </c>
      <c r="B164" s="65" t="s">
        <v>206</v>
      </c>
      <c r="C164" s="134">
        <v>49298</v>
      </c>
      <c r="D164" s="54"/>
      <c r="E164" s="54">
        <f>1065039.05-20000-20000-20000-20000-20000+1362610.87-20000-20000-20000+719317.87-20000-20000+453032.21-20000-20000-20000-20000-20000-20000-20000-20000-20000-20000-20000-20000-20000-20000-20000-20000-20000-20000-20000-20000-20000-20000-20000</f>
        <v>2940000</v>
      </c>
      <c r="F164" s="126">
        <f>' DEUDA MUNICIPIOS NO AVALADOS'!B117</f>
        <v>20000</v>
      </c>
      <c r="G164" s="126">
        <f>' DEUDA MUNICIPIOS NO AVALADOS'!C117</f>
        <v>11712.14</v>
      </c>
      <c r="H164" s="126">
        <f>F164+G164</f>
        <v>31712.14</v>
      </c>
    </row>
    <row r="165" spans="5:8" ht="12.75">
      <c r="E165" s="178">
        <f>SUM(E164)</f>
        <v>2940000</v>
      </c>
      <c r="F165" s="178">
        <f>SUM(F164)</f>
        <v>20000</v>
      </c>
      <c r="G165" s="178">
        <f>SUM(G164)</f>
        <v>11712.14</v>
      </c>
      <c r="H165" s="178">
        <f>SUM(H164)</f>
        <v>31712.14</v>
      </c>
    </row>
    <row r="166" spans="1:11" ht="14.25" customHeight="1">
      <c r="A166" s="125" t="s">
        <v>224</v>
      </c>
      <c r="B166" s="65"/>
      <c r="C166" s="134"/>
      <c r="D166" s="54"/>
      <c r="E166" s="54"/>
      <c r="F166" s="126"/>
      <c r="G166" s="126"/>
      <c r="H166" s="126"/>
      <c r="I166" s="126"/>
      <c r="J166" s="126"/>
      <c r="K166" s="126"/>
    </row>
    <row r="167" spans="1:11" ht="12.75">
      <c r="A167" s="5" t="s">
        <v>225</v>
      </c>
      <c r="B167" s="274" t="s">
        <v>226</v>
      </c>
      <c r="C167" s="134">
        <v>42583</v>
      </c>
      <c r="D167" s="54"/>
      <c r="E167" s="273">
        <f>6133243.71-81776.59-81776.59-81776.59-81776.59-81776.59-81776.59-81776.59-81776.59-81776.59-81776.59-81776.59-81776.59-81776.59-81776.59-81776.59-81776.59-81776.59-81776.59-31956.47-81776.59-81776.59-49820.12-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-81776.59-81776.05</f>
        <v>6.475602276623249E-09</v>
      </c>
      <c r="F167" s="126">
        <f>' DEUDA MUNICIPIOS NO AVALADOS'!B63</f>
        <v>0</v>
      </c>
      <c r="G167" s="126">
        <f>' DEUDA MUNICIPIOS NO AVALADOS'!C63</f>
        <v>0</v>
      </c>
      <c r="H167" s="126">
        <f>F167+G167</f>
        <v>0</v>
      </c>
      <c r="I167" s="126"/>
      <c r="J167" s="126"/>
      <c r="K167" s="126"/>
    </row>
    <row r="168" spans="1:11" ht="12.75">
      <c r="A168" s="5" t="str">
        <f>'[1] DEUDA MUNICIPIOS NO AVALADOS'!A63</f>
        <v>M011 BANOBRAS/CANANEA C.S 9924</v>
      </c>
      <c r="B168" s="327" t="s">
        <v>227</v>
      </c>
      <c r="C168" s="134">
        <v>43404</v>
      </c>
      <c r="D168" s="54"/>
      <c r="E168" s="273">
        <f>5000000-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-59523.81-59523.81</f>
        <v>1428571.4000000027</v>
      </c>
      <c r="F168" s="126">
        <f>' DEUDA MUNICIPIOS NO AVALADOS'!B64</f>
        <v>59523.81</v>
      </c>
      <c r="G168" s="126">
        <f>' DEUDA MUNICIPIOS NO AVALADOS'!C64</f>
        <v>9757.97</v>
      </c>
      <c r="H168" s="126">
        <f>F168+G168</f>
        <v>69281.78</v>
      </c>
      <c r="I168" s="126"/>
      <c r="J168" s="126"/>
      <c r="K168" s="126"/>
    </row>
    <row r="169" spans="1:11" ht="12.75">
      <c r="A169" s="5"/>
      <c r="B169" s="65"/>
      <c r="C169" s="134"/>
      <c r="D169" s="54"/>
      <c r="E169" s="79">
        <f>SUM(E167:E168)</f>
        <v>1428571.4000000092</v>
      </c>
      <c r="F169" s="79">
        <f>SUM(F167:F168)</f>
        <v>59523.81</v>
      </c>
      <c r="G169" s="79">
        <f>SUM(G167:G168)</f>
        <v>9757.97</v>
      </c>
      <c r="H169" s="79">
        <f>SUM(H167:H168)</f>
        <v>69281.78</v>
      </c>
      <c r="I169" s="126"/>
      <c r="J169" s="126"/>
      <c r="K169" s="126"/>
    </row>
    <row r="170" spans="1:8" ht="12.75">
      <c r="A170" s="125" t="s">
        <v>200</v>
      </c>
      <c r="C170" s="169"/>
      <c r="F170" s="126"/>
      <c r="G170" s="126"/>
      <c r="H170" s="126"/>
    </row>
    <row r="171" spans="1:8" ht="12.75">
      <c r="A171" s="127" t="s">
        <v>201</v>
      </c>
      <c r="B171" s="65" t="s">
        <v>206</v>
      </c>
      <c r="C171" s="134">
        <v>46420</v>
      </c>
      <c r="E171" s="63">
        <f>3500000-19444.44-19444.44-1944.44-17500-19444.46-19444.44-19444.44-0.01+19444.44-38888.88-19444.44-19444.44-19444.44-0.01-19444.44-19444.44-19444.44-0.02-19444.44-0.02+0.02-19212.96-19212.96-19212.96-19212.96-19212.96-19212.96-19212.96-19212.96-19212.96-0-19212.96-19212.96-19212.96-19212.96-19212.96-19212.96-19212.96-19212.96-19212.96-19212.96-19212.96-19212.96-19212.96-19212.96-19212.96-19212.96-19212.96-19212.96-19212.96-19212.96-19212.96</f>
        <v>2651388.9800000023</v>
      </c>
      <c r="F171" s="126">
        <f>' DEUDA MUNICIPIOS NO AVALADOS'!B191</f>
        <v>19212.96</v>
      </c>
      <c r="G171" s="126">
        <f>' DEUDA MUNICIPIOS NO AVALADOS'!C191</f>
        <v>10567.05</v>
      </c>
      <c r="H171" s="126">
        <f>F171+G171</f>
        <v>29780.01</v>
      </c>
    </row>
    <row r="172" spans="1:8" ht="12.75">
      <c r="A172" s="5"/>
      <c r="B172" s="65"/>
      <c r="C172" s="183"/>
      <c r="D172" s="14"/>
      <c r="E172" s="79">
        <f>SUM(E171)</f>
        <v>2651388.9800000023</v>
      </c>
      <c r="F172" s="79">
        <f>SUM(F171)</f>
        <v>19212.96</v>
      </c>
      <c r="G172" s="79">
        <f>SUM(G171)</f>
        <v>10567.05</v>
      </c>
      <c r="H172" s="79">
        <f>SUM(H171)</f>
        <v>29780.01</v>
      </c>
    </row>
    <row r="173" spans="1:11" ht="15">
      <c r="A173" s="125" t="str">
        <f>'[1] DEUDA MUNICIPIOS NO AVALADOS'!A58</f>
        <v>CARBO</v>
      </c>
      <c r="B173" s="65"/>
      <c r="C173" s="134"/>
      <c r="D173" s="54"/>
      <c r="E173" s="184"/>
      <c r="F173" s="126"/>
      <c r="G173" s="126"/>
      <c r="H173" s="126"/>
      <c r="I173" s="126"/>
      <c r="J173" s="126"/>
      <c r="K173" s="126"/>
    </row>
    <row r="174" spans="1:11" ht="12.75">
      <c r="A174" s="5" t="str">
        <f>'[1] DEUDA MUNICIPIOS NO AVALADOS'!A59</f>
        <v>FFRES 0052-14 CARBO 3 MDP</v>
      </c>
      <c r="B174" s="65" t="s">
        <v>206</v>
      </c>
      <c r="C174" s="134">
        <v>49136</v>
      </c>
      <c r="D174" s="54"/>
      <c r="E174" s="54">
        <f>990000-28611.11-28611.11+1148232.3-28611.11+535760.66-28611.11+416007.03-28611.11-28611.11-28611.11-28611.11-28611.11-28611.11-28611.11-28611.11-28611.11-28611.11-28611.11-28611.11-28611.11-28611.11-28611.11-28611.11-28611.11-28611.11-28611.11-28611.11-28611.11-28611.11</f>
        <v>2346111.1300000027</v>
      </c>
      <c r="F174" s="126">
        <f>' DEUDA MUNICIPIOS NO AVALADOS'!B60</f>
        <v>28611.11</v>
      </c>
      <c r="G174" s="126">
        <f>' DEUDA MUNICIPIOS NO AVALADOS'!C60</f>
        <v>14314.3</v>
      </c>
      <c r="H174" s="126">
        <f>F174+G174</f>
        <v>42925.41</v>
      </c>
      <c r="I174" s="126"/>
      <c r="J174" s="126"/>
      <c r="K174" s="126"/>
    </row>
    <row r="175" spans="1:11" ht="12.75">
      <c r="A175" s="5"/>
      <c r="B175" s="65"/>
      <c r="C175" s="134"/>
      <c r="D175" s="54"/>
      <c r="E175" s="185">
        <f>SUM(E174)</f>
        <v>2346111.1300000027</v>
      </c>
      <c r="F175" s="185">
        <f>SUM(F174)</f>
        <v>28611.11</v>
      </c>
      <c r="G175" s="185">
        <f>SUM(G174)</f>
        <v>14314.3</v>
      </c>
      <c r="H175" s="185">
        <f>SUM(H174)</f>
        <v>42925.41</v>
      </c>
      <c r="I175" s="126"/>
      <c r="J175" s="126"/>
      <c r="K175" s="126"/>
    </row>
    <row r="176" spans="1:8" ht="12.75">
      <c r="A176" s="125" t="s">
        <v>82</v>
      </c>
      <c r="B176" s="146"/>
      <c r="C176" s="146"/>
      <c r="D176" s="14"/>
      <c r="F176" s="1"/>
      <c r="G176" s="1"/>
      <c r="H176" s="1"/>
    </row>
    <row r="177" spans="1:8" ht="12.75">
      <c r="A177" s="5" t="s">
        <v>110</v>
      </c>
      <c r="B177" s="65" t="s">
        <v>206</v>
      </c>
      <c r="C177" s="183">
        <v>46054</v>
      </c>
      <c r="D177" s="14"/>
      <c r="E177" s="54">
        <f>3000000-17857.14-17857.14-17857.14-17857.14-17857.14-17857.14-17857.14-17857.14-17857.14-17857.14-17857.14-0.03-16666.67-16666.67-16666.67-16666.67-16666.67-16666.67+13095.19-16666.67-16666.67-16666.67-16666.67-16666.67-16666.66-16666.66-16666.67-16666.67+0.01-16666.67-16666.67-16666.67+0.01-16666.67-16666.67+0.11-16666.67+0.01-0.04-16666.67-16666.67+0.01-16666.67+0.01-16666.67-16666.67-0.08-16666.67-16666.67-16666.67+0.01-16666.67-16666.67-16666.67+0.02-16666.67-16666.67-16666.67-16666.67-16666.67-16666.67-16666.67-16666.67-16666.67-16666.67-16666.67-16666.67+0.03-16666.67-16666.67-16666.67+0.02-16666.67-16666.67-16666.67-16666.67-16666.67-16666.67-16666.67-16666.67</f>
        <v>1899999.9100000008</v>
      </c>
      <c r="F177" s="126">
        <f>' DEUDA MUNICIPIOS NO AVALADOS'!B22</f>
        <v>16666.67</v>
      </c>
      <c r="G177" s="126">
        <f>' DEUDA MUNICIPIOS NO AVALADOS'!C22</f>
        <v>7571.33</v>
      </c>
      <c r="H177" s="126">
        <f>F177+G177</f>
        <v>24238</v>
      </c>
    </row>
    <row r="178" spans="1:8" ht="12.75">
      <c r="A178" s="5" t="str">
        <f>'[1] DEUDA MUNICIPIOS NO AVALADOS'!A23</f>
        <v>FFRES-0026-11 </v>
      </c>
      <c r="B178" s="65" t="s">
        <v>206</v>
      </c>
      <c r="C178" s="183">
        <v>46370</v>
      </c>
      <c r="D178" s="14"/>
      <c r="E178" s="54">
        <f>766767.03-4564.09-4564.09+304.27-4259.82-4259.82-4259.82-4259.82-4259.82+304.29-4259.82-4259.82-4259.82-4259.82+0.01-4259.82-4259.82-4259.82+0.01-4259.82-4259.82-4259.82+0.01-4259.82-4259.82-4259.82-4259.82-4259.82+0.01-4259.82+0.01-4259.82-4259.82-0.01-4259.82-4259.82-0.01+0.02-4259.82-4259.82-4259.82-4259.82+0.02-4259.82+0.01-4259.82-4259.82-4259.82-4259.82-4259.82-4259.82-4259.82-4259.82-4259.82-4259.82-4259.82-4259.82-4259.82+0.04-4259.82-4259.82-4259.82-4259.82+0.01-4259.82+0.01-4259.82+0.01-4259.82-4259.82-4259.82-4259.82-4259.82-4259.82</f>
        <v>523957.46000000305</v>
      </c>
      <c r="F178" s="126">
        <f>' DEUDA MUNICIPIOS NO AVALADOS'!B23</f>
        <v>4259.82</v>
      </c>
      <c r="G178" s="126">
        <f>' DEUDA MUNICIPIOS NO AVALADOS'!C23</f>
        <v>2090.05</v>
      </c>
      <c r="H178" s="126">
        <f>F178+G178</f>
        <v>6349.87</v>
      </c>
    </row>
    <row r="179" spans="2:8" ht="12.75">
      <c r="B179" s="146"/>
      <c r="C179" s="146"/>
      <c r="D179" s="14"/>
      <c r="E179" s="185">
        <f>SUM(E177:E178)</f>
        <v>2423957.370000004</v>
      </c>
      <c r="F179" s="126"/>
      <c r="G179" s="126"/>
      <c r="H179" s="126"/>
    </row>
    <row r="180" spans="1:8" ht="15.75" customHeight="1">
      <c r="A180" s="125" t="s">
        <v>108</v>
      </c>
      <c r="B180" s="146"/>
      <c r="C180" s="146"/>
      <c r="D180" s="14"/>
      <c r="E180" s="146"/>
      <c r="F180" s="126"/>
      <c r="G180" s="126"/>
      <c r="H180" s="126"/>
    </row>
    <row r="181" spans="1:8" ht="12.75">
      <c r="A181" s="5" t="s">
        <v>109</v>
      </c>
      <c r="B181" s="10" t="s">
        <v>206</v>
      </c>
      <c r="C181" s="183">
        <v>46407</v>
      </c>
      <c r="D181" s="14"/>
      <c r="E181" s="153">
        <f>3205000-17805.56-17805.56-17805.56-17805.56-17805.56-17805.56+0.03-17805.56-17805.56-17805.56-17805.56+0.01-17805.56-17805.56-17805.56+0.02-17805.56+0.02-17805.56-0.01-17487.6-17487.6-17487.6-17487.6-17487.6-17487.6-17487.6-17487.6-17487.6-0-17487.6-17487.6-17487.6-17487.6-17487.6-17487.6-17487.6-17487.6-17487.6-17487.6-17487.6-17487.6-17487.6-17487.6-17487.6-17487.6-17487.6-17487.6-17487.6-17487.6</f>
        <v>2430776.2699999963</v>
      </c>
      <c r="F181" s="126">
        <f>' DEUDA MUNICIPIOS NO AVALADOS'!B19</f>
        <v>17487.6</v>
      </c>
      <c r="G181" s="126">
        <f>' DEUDA MUNICIPIOS NO AVALADOS'!C19</f>
        <v>9687.3</v>
      </c>
      <c r="H181" s="126">
        <f>F181+G181</f>
        <v>27174.899999999998</v>
      </c>
    </row>
    <row r="182" spans="2:8" ht="12.75">
      <c r="B182" s="146"/>
      <c r="C182" s="146"/>
      <c r="D182" s="14"/>
      <c r="E182" s="186">
        <f>SUM(E181)</f>
        <v>2430776.2699999963</v>
      </c>
      <c r="F182" s="186">
        <f>SUM(F181)</f>
        <v>17487.6</v>
      </c>
      <c r="G182" s="186">
        <f>SUM(G181)</f>
        <v>9687.3</v>
      </c>
      <c r="H182" s="186">
        <f>SUM(H181)</f>
        <v>27174.899999999998</v>
      </c>
    </row>
    <row r="183" spans="1:8" ht="12.75">
      <c r="A183" s="125" t="s">
        <v>113</v>
      </c>
      <c r="B183" s="146"/>
      <c r="C183" s="146"/>
      <c r="D183" s="14"/>
      <c r="E183" s="146"/>
      <c r="F183" s="126"/>
      <c r="G183" s="126"/>
      <c r="H183" s="126"/>
    </row>
    <row r="184" spans="1:8" ht="12.75">
      <c r="A184" s="5" t="s">
        <v>114</v>
      </c>
      <c r="B184" s="10" t="s">
        <v>206</v>
      </c>
      <c r="C184" s="183">
        <v>46257</v>
      </c>
      <c r="D184" s="14"/>
      <c r="E184" s="54">
        <f>3000000-17857.14-17857.14-17857.14-17857.14-17857.14+4761.88-16666.67-4761.88-16666.67-16666.67-16666.67-16666.67-16666.67+5952.33-16666.67-16666.67-16666.67-16666.67+0.01-16666.67-16666.67-16666.67-16666.67-16666.67+0.02-16666.67-16666.67-16666.67-16666.67+0.01-16666.67-16666.67+0.01-16666.67-16666.67-16666.67-16666.67-16666.67+0.01-16666.67-16666.67+0.01-16666.67-16666.67-16666.67+0.01-16666.67-16666.67-16666.67-16666.67-16666.67-16666.67-16666.67-16666.67-16666.67-16666.67-16666.67-16666.67-16666.67+0.04-16666.67-16666.67-16666.67-16666.67-16666.67+0.01-16666.67-16666.67-16666.67-16666.67-16666.67-16666.67</f>
        <v>1999999.910000002</v>
      </c>
      <c r="F184" s="126">
        <f>' DEUDA MUNICIPIOS NO AVALADOS'!B29</f>
        <v>16666.67</v>
      </c>
      <c r="G184" s="126">
        <f>' DEUDA MUNICIPIOS NO AVALADOS'!C29</f>
        <v>8220.83</v>
      </c>
      <c r="H184" s="126">
        <f>F184+G184</f>
        <v>24887.5</v>
      </c>
    </row>
    <row r="185" spans="2:8" ht="12.75">
      <c r="B185" s="146"/>
      <c r="C185" s="146"/>
      <c r="D185" s="14"/>
      <c r="E185" s="185">
        <f>SUM(E184)</f>
        <v>1999999.910000002</v>
      </c>
      <c r="F185" s="185">
        <f>SUM(F184)</f>
        <v>16666.67</v>
      </c>
      <c r="G185" s="185">
        <f>SUM(G184)</f>
        <v>8220.83</v>
      </c>
      <c r="H185" s="185">
        <f>SUM(H184)</f>
        <v>24887.5</v>
      </c>
    </row>
    <row r="186" spans="1:8" ht="12.75">
      <c r="A186" s="125" t="s">
        <v>190</v>
      </c>
      <c r="E186" s="3"/>
      <c r="F186" s="126"/>
      <c r="G186" s="126"/>
      <c r="H186" s="126"/>
    </row>
    <row r="187" spans="1:8" ht="12.75">
      <c r="A187" s="5" t="s">
        <v>191</v>
      </c>
      <c r="B187" s="65" t="s">
        <v>206</v>
      </c>
      <c r="C187" s="104">
        <v>47021</v>
      </c>
      <c r="E187" s="3">
        <f>661685.04-13888.89-13888.89+1208041.55-13888.89-13888.89-13888.89-13888.89-13888.89+50846.53-13888.89+265598-13888.89+313331.12-13888.89+0.06-13888.89-13888.89-13888.89-13888.89-13888.89-13888.89-13888.89-13888.89-13888.89-13888.89-13888.89-13888.89-13888.89-13888.89-13888.89-13888.89-13888.89-13888.89-13888.89-13888.89-13888.89-13888.89-13888.89-13888.89-13888.89-13888.89</f>
        <v>1999502.2599999993</v>
      </c>
      <c r="F187" s="126">
        <f>' DEUDA MUNICIPIOS NO AVALADOS'!B168</f>
        <v>13888.89</v>
      </c>
      <c r="G187" s="126">
        <f>' DEUDA MUNICIPIOS NO AVALADOS'!C168</f>
        <v>7966.6</v>
      </c>
      <c r="H187" s="126">
        <f>F187+G187</f>
        <v>21855.489999999998</v>
      </c>
    </row>
    <row r="188" spans="2:8" ht="12.75">
      <c r="B188" s="146"/>
      <c r="C188" s="146"/>
      <c r="D188" s="14"/>
      <c r="E188" s="185">
        <f>SUM(E187)</f>
        <v>1999502.2599999993</v>
      </c>
      <c r="F188" s="185">
        <f>SUM(F187)</f>
        <v>13888.89</v>
      </c>
      <c r="G188" s="185">
        <f>SUM(G187)</f>
        <v>7966.6</v>
      </c>
      <c r="H188" s="185">
        <f>SUM(H187)</f>
        <v>21855.489999999998</v>
      </c>
    </row>
    <row r="189" spans="1:27" s="132" customFormat="1" ht="12.75">
      <c r="A189" s="187" t="s">
        <v>196</v>
      </c>
      <c r="B189" s="180"/>
      <c r="C189" s="180"/>
      <c r="D189" s="129"/>
      <c r="E189" s="130"/>
      <c r="F189" s="131"/>
      <c r="G189" s="131"/>
      <c r="H189" s="131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</row>
    <row r="190" spans="1:27" s="63" customFormat="1" ht="12.75">
      <c r="A190" s="1" t="s">
        <v>197</v>
      </c>
      <c r="B190" s="342">
        <v>0.07</v>
      </c>
      <c r="C190" s="104">
        <v>46711</v>
      </c>
      <c r="D190" s="1" t="s">
        <v>123</v>
      </c>
      <c r="E190" s="74">
        <f>659315.68-13205.13+300548-13205.13-13205.13+542369.4+258540.89-13205.13-13205.13+296936.74-13205.13-13205.13-13205.13-13205.13-13205.13-13205.13-13205.13-13205.13-13205.13-13205.13-13205.13-13205.13-13205.13-13205.13-13205.13-13205.13-13205.13-13205.13</f>
        <v>1753992.7200000023</v>
      </c>
      <c r="F190" s="126">
        <f>' DEUDA MUNICIPIOS NO AVALADOS'!B182</f>
        <v>13205.13</v>
      </c>
      <c r="G190" s="126">
        <f>' DEUDA MUNICIPIOS NO AVALADOS'!C182</f>
        <v>10652.28</v>
      </c>
      <c r="H190" s="126">
        <f>F190+G190</f>
        <v>23857.41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8" ht="12.75">
      <c r="B191" s="146"/>
      <c r="C191" s="146"/>
      <c r="D191" s="14"/>
      <c r="E191" s="185">
        <f>SUM(E190)</f>
        <v>1753992.7200000023</v>
      </c>
      <c r="F191" s="185">
        <f>SUM(F190)</f>
        <v>13205.13</v>
      </c>
      <c r="G191" s="185">
        <f>SUM(G190)</f>
        <v>10652.28</v>
      </c>
      <c r="H191" s="185">
        <f>SUM(H190)</f>
        <v>23857.41</v>
      </c>
    </row>
    <row r="192" spans="1:8" ht="12.75">
      <c r="A192" s="125" t="str">
        <f>'[1] DEUDA MUNICIPIOS NO AVALADOS'!A25</f>
        <v>BACANORA</v>
      </c>
      <c r="B192" s="146"/>
      <c r="C192" s="146"/>
      <c r="D192" s="14"/>
      <c r="E192" s="146"/>
      <c r="F192" s="126"/>
      <c r="G192" s="126"/>
      <c r="H192" s="126"/>
    </row>
    <row r="193" spans="1:8" ht="12.75">
      <c r="A193" s="1" t="str">
        <f>'[1] DEUDA MUNICIPIOS NO AVALADOS'!A26</f>
        <v>FFRES 0024-11 2MDP</v>
      </c>
      <c r="B193" s="10" t="s">
        <v>206</v>
      </c>
      <c r="C193" s="183">
        <v>46495</v>
      </c>
      <c r="D193" s="14"/>
      <c r="E193" s="54">
        <f>2000000-11111.11-11111.11-11111.11-11111.11-11111.11-11111.11-11111.11-0.01-11111.11-11111.11-11111.11-11111.11-11111.11-11111.11-11111.11-11111.11-0.01-11111.11-11111.11-11111.11-11111.11-11111.11-11111.11-11111.11-11111.11-11111.11-11111.11-11111.11-11111.11-11111.11-11111.11-0.01-11111.11-11111.11-11111.11-11111.11-11111.11-11111.11-11111.11-0.01-11111.11-11111.11-11111.11-11111.11-11111.11</f>
        <v>1544444.4499999958</v>
      </c>
      <c r="F193" s="126">
        <f>' DEUDA MUNICIPIOS NO AVALADOS'!B26</f>
        <v>11111.11</v>
      </c>
      <c r="G193" s="126">
        <f>' DEUDA MUNICIPIOS NO AVALADOS'!C26</f>
        <v>6155.03</v>
      </c>
      <c r="H193" s="126">
        <f>F193+G193</f>
        <v>17266.14</v>
      </c>
    </row>
    <row r="194" spans="2:8" ht="12.75">
      <c r="B194" s="146"/>
      <c r="C194" s="146"/>
      <c r="D194" s="14"/>
      <c r="E194" s="185">
        <f>SUM(E193)</f>
        <v>1544444.4499999958</v>
      </c>
      <c r="F194" s="185">
        <f>SUM(F193)</f>
        <v>11111.11</v>
      </c>
      <c r="G194" s="185">
        <f>SUM(G193)</f>
        <v>6155.03</v>
      </c>
      <c r="H194" s="185">
        <f>SUM(H193)</f>
        <v>17266.14</v>
      </c>
    </row>
    <row r="195" spans="1:11" ht="14.25" customHeight="1">
      <c r="A195" s="125" t="s">
        <v>139</v>
      </c>
      <c r="B195" s="65"/>
      <c r="C195" s="134"/>
      <c r="D195" s="54"/>
      <c r="E195" s="54"/>
      <c r="F195" s="126"/>
      <c r="G195" s="126"/>
      <c r="H195" s="126"/>
      <c r="I195" s="126"/>
      <c r="J195" s="126"/>
      <c r="K195" s="126"/>
    </row>
    <row r="196" spans="1:11" ht="12.75">
      <c r="A196" s="5" t="s">
        <v>140</v>
      </c>
      <c r="B196" s="274" t="s">
        <v>230</v>
      </c>
      <c r="C196" s="134">
        <v>43281</v>
      </c>
      <c r="D196" s="54"/>
      <c r="E196" s="273">
        <f>4296432.96-42538.94-42538.94-42538.94-42538.94-42538.94-42538.94-42538.94-42538.94-42538.94-42538.94-42538.94-42538.94-42538.94-42538.94-42538.94-42538.94-42538.94-42538.94-42538.94-42538.94-42538.94-42538.94-42538.94-42538.94-42538.94-42538.94-42538.94-19229.54-23309.4-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-42538.94-42538.94</f>
        <v>850778.8200000036</v>
      </c>
      <c r="F196" s="126">
        <f>' DEUDA MUNICIPIOS NO AVALADOS'!B80</f>
        <v>42538.94</v>
      </c>
      <c r="G196" s="126">
        <f>' DEUDA MUNICIPIOS NO AVALADOS'!C80</f>
        <v>5327.03</v>
      </c>
      <c r="H196" s="126">
        <f>F196+G196</f>
        <v>47865.97</v>
      </c>
      <c r="I196" s="126"/>
      <c r="J196" s="126"/>
      <c r="K196" s="126"/>
    </row>
    <row r="197" spans="1:11" ht="12.75">
      <c r="A197" s="5"/>
      <c r="B197" s="65"/>
      <c r="C197" s="65"/>
      <c r="D197" s="54"/>
      <c r="E197" s="79">
        <f>SUM(E196)</f>
        <v>850778.8200000036</v>
      </c>
      <c r="F197" s="79">
        <f>SUM(F196)</f>
        <v>42538.94</v>
      </c>
      <c r="G197" s="79">
        <f>SUM(G196)</f>
        <v>5327.03</v>
      </c>
      <c r="H197" s="79">
        <f>SUM(H196)</f>
        <v>47865.97</v>
      </c>
      <c r="I197" s="126"/>
      <c r="J197" s="126"/>
      <c r="K197" s="126"/>
    </row>
    <row r="198" spans="3:10" ht="13.5">
      <c r="C198" s="169"/>
      <c r="E198" s="3"/>
      <c r="I198" s="3"/>
      <c r="J198" s="3"/>
    </row>
    <row r="199" spans="3:5" ht="13.5">
      <c r="C199" s="169"/>
      <c r="E199" s="3"/>
    </row>
    <row r="200" spans="3:10" ht="13.5">
      <c r="C200" s="169"/>
      <c r="E200" s="3">
        <f>'SALDO MPIO NO AVALADO'!E196</f>
        <v>4503566362.2069025</v>
      </c>
      <c r="I200" s="141"/>
      <c r="J200" s="141"/>
    </row>
    <row r="201" spans="3:5" ht="13.5">
      <c r="C201" s="169"/>
      <c r="E201" s="3"/>
    </row>
    <row r="202" spans="3:5" ht="13.5">
      <c r="C202" s="169"/>
      <c r="E202" s="3"/>
    </row>
    <row r="203" spans="1:11" s="144" customFormat="1" ht="13.5">
      <c r="A203" s="1"/>
      <c r="B203" s="68"/>
      <c r="C203" s="169"/>
      <c r="D203" s="1"/>
      <c r="E203" s="3"/>
      <c r="G203" s="63"/>
      <c r="H203" s="63"/>
      <c r="I203" s="1"/>
      <c r="J203" s="1"/>
      <c r="K203" s="1"/>
    </row>
    <row r="204" spans="1:11" s="144" customFormat="1" ht="13.5">
      <c r="A204" s="1"/>
      <c r="B204" s="68"/>
      <c r="C204" s="169"/>
      <c r="D204" s="1"/>
      <c r="E204" s="3"/>
      <c r="G204" s="63"/>
      <c r="H204" s="63"/>
      <c r="I204" s="1"/>
      <c r="J204" s="1"/>
      <c r="K204" s="1"/>
    </row>
    <row r="205" spans="1:11" s="144" customFormat="1" ht="13.5">
      <c r="A205" s="1"/>
      <c r="B205" s="68"/>
      <c r="C205" s="169"/>
      <c r="D205" s="1"/>
      <c r="E205" s="3"/>
      <c r="G205" s="63"/>
      <c r="H205" s="63"/>
      <c r="I205" s="1"/>
      <c r="J205" s="1"/>
      <c r="K205" s="1"/>
    </row>
    <row r="206" spans="1:11" s="144" customFormat="1" ht="13.5">
      <c r="A206" s="1"/>
      <c r="B206" s="68"/>
      <c r="C206" s="169"/>
      <c r="D206" s="1"/>
      <c r="E206" s="3"/>
      <c r="G206" s="63"/>
      <c r="H206" s="63"/>
      <c r="I206" s="1"/>
      <c r="J206" s="1"/>
      <c r="K206" s="1"/>
    </row>
    <row r="207" spans="1:11" s="144" customFormat="1" ht="13.5">
      <c r="A207" s="1"/>
      <c r="B207" s="68"/>
      <c r="C207" s="169"/>
      <c r="D207" s="1"/>
      <c r="E207" s="3"/>
      <c r="G207" s="63"/>
      <c r="H207" s="63"/>
      <c r="I207" s="1"/>
      <c r="J207" s="1"/>
      <c r="K207" s="1"/>
    </row>
    <row r="208" spans="1:11" s="144" customFormat="1" ht="13.5">
      <c r="A208" s="1"/>
      <c r="B208" s="68"/>
      <c r="C208" s="68"/>
      <c r="D208" s="1"/>
      <c r="E208" s="3"/>
      <c r="G208" s="63"/>
      <c r="H208" s="63"/>
      <c r="I208" s="1"/>
      <c r="J208" s="1"/>
      <c r="K208" s="1"/>
    </row>
    <row r="209" spans="1:11" s="144" customFormat="1" ht="13.5">
      <c r="A209" s="1"/>
      <c r="B209" s="68"/>
      <c r="C209" s="68"/>
      <c r="D209" s="1"/>
      <c r="E209" s="3"/>
      <c r="G209" s="63"/>
      <c r="H209" s="63"/>
      <c r="I209" s="1"/>
      <c r="J209" s="1"/>
      <c r="K209" s="1"/>
    </row>
    <row r="210" spans="1:11" s="144" customFormat="1" ht="13.5">
      <c r="A210" s="1"/>
      <c r="B210" s="68"/>
      <c r="C210" s="68"/>
      <c r="D210" s="1"/>
      <c r="E210" s="3"/>
      <c r="G210" s="63"/>
      <c r="H210" s="63"/>
      <c r="I210" s="1"/>
      <c r="J210" s="1"/>
      <c r="K210" s="1"/>
    </row>
    <row r="211" spans="1:11" s="144" customFormat="1" ht="13.5">
      <c r="A211" s="1"/>
      <c r="B211" s="68"/>
      <c r="C211" s="68"/>
      <c r="D211" s="1"/>
      <c r="E211" s="3"/>
      <c r="G211" s="63"/>
      <c r="H211" s="63"/>
      <c r="I211" s="1"/>
      <c r="J211" s="1"/>
      <c r="K211" s="1"/>
    </row>
    <row r="212" spans="1:11" s="144" customFormat="1" ht="13.5">
      <c r="A212" s="1"/>
      <c r="B212" s="68"/>
      <c r="C212" s="68"/>
      <c r="D212" s="1"/>
      <c r="E212" s="3"/>
      <c r="G212" s="63"/>
      <c r="H212" s="63"/>
      <c r="I212" s="1"/>
      <c r="J212" s="1"/>
      <c r="K212" s="1"/>
    </row>
    <row r="213" spans="1:11" s="144" customFormat="1" ht="13.5">
      <c r="A213" s="1"/>
      <c r="B213" s="68"/>
      <c r="C213" s="68"/>
      <c r="D213" s="1"/>
      <c r="E213" s="3"/>
      <c r="G213" s="63"/>
      <c r="H213" s="63"/>
      <c r="I213" s="1"/>
      <c r="J213" s="1"/>
      <c r="K213" s="1"/>
    </row>
    <row r="214" spans="1:11" s="144" customFormat="1" ht="13.5">
      <c r="A214" s="1"/>
      <c r="B214" s="68"/>
      <c r="C214" s="68"/>
      <c r="D214" s="1"/>
      <c r="E214" s="3"/>
      <c r="G214" s="63"/>
      <c r="H214" s="63"/>
      <c r="I214" s="1"/>
      <c r="J214" s="1"/>
      <c r="K214" s="1"/>
    </row>
    <row r="215" spans="1:11" s="144" customFormat="1" ht="13.5">
      <c r="A215" s="1"/>
      <c r="B215" s="68"/>
      <c r="C215" s="68"/>
      <c r="D215" s="1"/>
      <c r="E215" s="3"/>
      <c r="G215" s="63"/>
      <c r="H215" s="63"/>
      <c r="I215" s="1"/>
      <c r="J215" s="1"/>
      <c r="K215" s="1"/>
    </row>
    <row r="216" spans="1:11" s="144" customFormat="1" ht="13.5">
      <c r="A216" s="1"/>
      <c r="B216" s="68"/>
      <c r="C216" s="68"/>
      <c r="D216" s="1"/>
      <c r="E216" s="3"/>
      <c r="G216" s="63"/>
      <c r="H216" s="63"/>
      <c r="I216" s="1"/>
      <c r="J216" s="1"/>
      <c r="K216" s="1"/>
    </row>
    <row r="217" spans="1:11" s="144" customFormat="1" ht="13.5">
      <c r="A217" s="1"/>
      <c r="B217" s="68"/>
      <c r="C217" s="68"/>
      <c r="D217" s="1"/>
      <c r="E217" s="3"/>
      <c r="G217" s="63"/>
      <c r="H217" s="63"/>
      <c r="I217" s="1"/>
      <c r="J217" s="1"/>
      <c r="K217" s="1"/>
    </row>
    <row r="218" spans="1:11" s="144" customFormat="1" ht="13.5">
      <c r="A218" s="1"/>
      <c r="B218" s="68"/>
      <c r="C218" s="68"/>
      <c r="D218" s="1"/>
      <c r="E218" s="3"/>
      <c r="G218" s="63"/>
      <c r="H218" s="63"/>
      <c r="I218" s="1"/>
      <c r="J218" s="1"/>
      <c r="K218" s="1"/>
    </row>
    <row r="219" spans="1:11" s="144" customFormat="1" ht="13.5">
      <c r="A219" s="1"/>
      <c r="B219" s="68"/>
      <c r="C219" s="68"/>
      <c r="D219" s="1"/>
      <c r="E219" s="3"/>
      <c r="G219" s="63"/>
      <c r="H219" s="63"/>
      <c r="I219" s="1"/>
      <c r="J219" s="1"/>
      <c r="K219" s="1"/>
    </row>
    <row r="220" spans="1:11" s="144" customFormat="1" ht="13.5">
      <c r="A220" s="1"/>
      <c r="B220" s="68"/>
      <c r="C220" s="68"/>
      <c r="D220" s="1"/>
      <c r="E220" s="3"/>
      <c r="G220" s="63"/>
      <c r="H220" s="63"/>
      <c r="I220" s="1"/>
      <c r="J220" s="1"/>
      <c r="K220" s="1"/>
    </row>
    <row r="221" spans="1:11" s="144" customFormat="1" ht="13.5">
      <c r="A221" s="1"/>
      <c r="B221" s="68"/>
      <c r="C221" s="68"/>
      <c r="D221" s="1"/>
      <c r="E221" s="3"/>
      <c r="G221" s="63"/>
      <c r="H221" s="63"/>
      <c r="I221" s="1"/>
      <c r="J221" s="1"/>
      <c r="K221" s="1"/>
    </row>
    <row r="222" spans="1:11" s="144" customFormat="1" ht="13.5">
      <c r="A222" s="1"/>
      <c r="B222" s="68"/>
      <c r="C222" s="68"/>
      <c r="D222" s="1"/>
      <c r="E222" s="3"/>
      <c r="G222" s="63"/>
      <c r="H222" s="63"/>
      <c r="I222" s="1"/>
      <c r="J222" s="1"/>
      <c r="K222" s="1"/>
    </row>
    <row r="223" spans="1:11" s="144" customFormat="1" ht="13.5">
      <c r="A223" s="1"/>
      <c r="B223" s="68"/>
      <c r="C223" s="68"/>
      <c r="D223" s="1"/>
      <c r="E223" s="3"/>
      <c r="G223" s="63"/>
      <c r="H223" s="63"/>
      <c r="I223" s="1"/>
      <c r="J223" s="1"/>
      <c r="K223" s="1"/>
    </row>
    <row r="224" spans="1:11" s="144" customFormat="1" ht="13.5">
      <c r="A224" s="1"/>
      <c r="B224" s="68"/>
      <c r="C224" s="68"/>
      <c r="D224" s="1"/>
      <c r="E224" s="3"/>
      <c r="G224" s="63"/>
      <c r="H224" s="63"/>
      <c r="I224" s="1"/>
      <c r="J224" s="1"/>
      <c r="K224" s="1"/>
    </row>
    <row r="225" spans="1:11" s="144" customFormat="1" ht="13.5">
      <c r="A225" s="1"/>
      <c r="B225" s="68"/>
      <c r="C225" s="68"/>
      <c r="D225" s="1"/>
      <c r="E225" s="3"/>
      <c r="G225" s="63"/>
      <c r="H225" s="63"/>
      <c r="I225" s="1"/>
      <c r="J225" s="1"/>
      <c r="K225" s="1"/>
    </row>
    <row r="226" spans="1:11" s="144" customFormat="1" ht="13.5">
      <c r="A226" s="1"/>
      <c r="B226" s="68"/>
      <c r="C226" s="68"/>
      <c r="D226" s="1"/>
      <c r="E226" s="3"/>
      <c r="G226" s="63"/>
      <c r="H226" s="63"/>
      <c r="I226" s="1"/>
      <c r="J226" s="1"/>
      <c r="K226" s="1"/>
    </row>
    <row r="227" spans="1:11" s="144" customFormat="1" ht="13.5">
      <c r="A227" s="1"/>
      <c r="B227" s="68"/>
      <c r="C227" s="68"/>
      <c r="D227" s="1"/>
      <c r="E227" s="3"/>
      <c r="G227" s="63"/>
      <c r="H227" s="63"/>
      <c r="I227" s="1"/>
      <c r="J227" s="1"/>
      <c r="K227" s="1"/>
    </row>
    <row r="228" spans="1:11" s="144" customFormat="1" ht="13.5">
      <c r="A228" s="1"/>
      <c r="B228" s="68"/>
      <c r="C228" s="68"/>
      <c r="D228" s="1"/>
      <c r="E228" s="3"/>
      <c r="G228" s="63"/>
      <c r="H228" s="63"/>
      <c r="I228" s="1"/>
      <c r="J228" s="1"/>
      <c r="K228" s="1"/>
    </row>
    <row r="229" spans="1:11" s="144" customFormat="1" ht="13.5">
      <c r="A229" s="1"/>
      <c r="B229" s="68"/>
      <c r="C229" s="68"/>
      <c r="D229" s="1"/>
      <c r="E229" s="3"/>
      <c r="G229" s="63"/>
      <c r="H229" s="63"/>
      <c r="I229" s="1"/>
      <c r="J229" s="1"/>
      <c r="K229" s="1"/>
    </row>
    <row r="230" spans="1:11" s="144" customFormat="1" ht="13.5">
      <c r="A230" s="1"/>
      <c r="B230" s="68"/>
      <c r="C230" s="68"/>
      <c r="D230" s="1"/>
      <c r="E230" s="3"/>
      <c r="G230" s="63"/>
      <c r="H230" s="63"/>
      <c r="I230" s="1"/>
      <c r="J230" s="1"/>
      <c r="K230" s="1"/>
    </row>
    <row r="231" spans="1:11" s="144" customFormat="1" ht="13.5">
      <c r="A231" s="1"/>
      <c r="B231" s="68"/>
      <c r="C231" s="68"/>
      <c r="D231" s="1"/>
      <c r="E231" s="3"/>
      <c r="G231" s="63"/>
      <c r="H231" s="63"/>
      <c r="I231" s="1"/>
      <c r="J231" s="1"/>
      <c r="K231" s="1"/>
    </row>
    <row r="232" spans="1:11" s="144" customFormat="1" ht="13.5">
      <c r="A232" s="1"/>
      <c r="B232" s="68"/>
      <c r="C232" s="68"/>
      <c r="D232" s="1"/>
      <c r="E232" s="3"/>
      <c r="G232" s="63"/>
      <c r="H232" s="63"/>
      <c r="I232" s="1"/>
      <c r="J232" s="1"/>
      <c r="K232" s="1"/>
    </row>
    <row r="233" spans="1:11" s="144" customFormat="1" ht="13.5">
      <c r="A233" s="1"/>
      <c r="B233" s="68"/>
      <c r="C233" s="68"/>
      <c r="D233" s="1"/>
      <c r="E233" s="3"/>
      <c r="G233" s="63"/>
      <c r="H233" s="63"/>
      <c r="I233" s="1"/>
      <c r="J233" s="1"/>
      <c r="K233" s="1"/>
    </row>
    <row r="234" spans="1:11" s="144" customFormat="1" ht="13.5">
      <c r="A234" s="1"/>
      <c r="B234" s="68"/>
      <c r="C234" s="68"/>
      <c r="D234" s="1"/>
      <c r="E234" s="3"/>
      <c r="G234" s="63"/>
      <c r="H234" s="63"/>
      <c r="I234" s="1"/>
      <c r="J234" s="1"/>
      <c r="K234" s="1"/>
    </row>
    <row r="235" spans="1:11" s="144" customFormat="1" ht="13.5">
      <c r="A235" s="1"/>
      <c r="B235" s="68"/>
      <c r="C235" s="68"/>
      <c r="D235" s="1"/>
      <c r="E235" s="3"/>
      <c r="G235" s="63"/>
      <c r="H235" s="63"/>
      <c r="I235" s="1"/>
      <c r="J235" s="1"/>
      <c r="K235" s="1"/>
    </row>
    <row r="236" spans="1:11" s="144" customFormat="1" ht="13.5">
      <c r="A236" s="1"/>
      <c r="B236" s="68"/>
      <c r="C236" s="68"/>
      <c r="D236" s="1"/>
      <c r="E236" s="3"/>
      <c r="G236" s="63"/>
      <c r="H236" s="63"/>
      <c r="I236" s="1"/>
      <c r="J236" s="1"/>
      <c r="K236" s="1"/>
    </row>
    <row r="237" spans="1:11" s="144" customFormat="1" ht="13.5">
      <c r="A237" s="1"/>
      <c r="B237" s="68"/>
      <c r="C237" s="68"/>
      <c r="D237" s="1"/>
      <c r="E237" s="3"/>
      <c r="G237" s="63"/>
      <c r="H237" s="63"/>
      <c r="I237" s="1"/>
      <c r="J237" s="1"/>
      <c r="K237" s="1"/>
    </row>
    <row r="238" spans="1:11" s="144" customFormat="1" ht="13.5">
      <c r="A238" s="1"/>
      <c r="B238" s="68"/>
      <c r="C238" s="68"/>
      <c r="D238" s="1"/>
      <c r="E238" s="3"/>
      <c r="G238" s="63"/>
      <c r="H238" s="63"/>
      <c r="I238" s="1"/>
      <c r="J238" s="1"/>
      <c r="K238" s="1"/>
    </row>
    <row r="239" spans="1:11" s="144" customFormat="1" ht="13.5">
      <c r="A239" s="1"/>
      <c r="B239" s="68"/>
      <c r="C239" s="68"/>
      <c r="D239" s="1"/>
      <c r="E239" s="3"/>
      <c r="G239" s="63"/>
      <c r="H239" s="63"/>
      <c r="I239" s="1"/>
      <c r="J239" s="1"/>
      <c r="K239" s="1"/>
    </row>
    <row r="240" spans="1:11" s="144" customFormat="1" ht="13.5">
      <c r="A240" s="1"/>
      <c r="B240" s="68"/>
      <c r="C240" s="68"/>
      <c r="D240" s="1"/>
      <c r="E240" s="3"/>
      <c r="G240" s="63"/>
      <c r="H240" s="63"/>
      <c r="I240" s="1"/>
      <c r="J240" s="1"/>
      <c r="K240" s="1"/>
    </row>
    <row r="241" spans="1:11" s="144" customFormat="1" ht="13.5">
      <c r="A241" s="1"/>
      <c r="B241" s="68"/>
      <c r="C241" s="68"/>
      <c r="D241" s="1"/>
      <c r="E241" s="3"/>
      <c r="G241" s="63"/>
      <c r="H241" s="63"/>
      <c r="I241" s="1"/>
      <c r="J241" s="1"/>
      <c r="K241" s="1"/>
    </row>
    <row r="242" spans="1:11" s="144" customFormat="1" ht="13.5">
      <c r="A242" s="1"/>
      <c r="B242" s="68"/>
      <c r="C242" s="68"/>
      <c r="D242" s="1"/>
      <c r="E242" s="3"/>
      <c r="G242" s="63"/>
      <c r="H242" s="63"/>
      <c r="I242" s="1"/>
      <c r="J242" s="1"/>
      <c r="K242" s="1"/>
    </row>
    <row r="243" spans="1:11" s="144" customFormat="1" ht="13.5">
      <c r="A243" s="1"/>
      <c r="B243" s="68"/>
      <c r="C243" s="68"/>
      <c r="D243" s="1"/>
      <c r="E243" s="3"/>
      <c r="G243" s="63"/>
      <c r="H243" s="63"/>
      <c r="I243" s="1"/>
      <c r="J243" s="1"/>
      <c r="K243" s="1"/>
    </row>
    <row r="244" spans="1:11" s="144" customFormat="1" ht="13.5">
      <c r="A244" s="1"/>
      <c r="B244" s="68"/>
      <c r="C244" s="68"/>
      <c r="D244" s="1"/>
      <c r="E244" s="3"/>
      <c r="G244" s="63"/>
      <c r="H244" s="63"/>
      <c r="I244" s="1"/>
      <c r="J244" s="1"/>
      <c r="K244" s="1"/>
    </row>
    <row r="245" spans="1:11" s="144" customFormat="1" ht="13.5">
      <c r="A245" s="1"/>
      <c r="B245" s="68"/>
      <c r="C245" s="68"/>
      <c r="D245" s="1"/>
      <c r="E245" s="3"/>
      <c r="G245" s="63"/>
      <c r="H245" s="63"/>
      <c r="I245" s="1"/>
      <c r="J245" s="1"/>
      <c r="K245" s="1"/>
    </row>
    <row r="246" spans="1:11" s="144" customFormat="1" ht="13.5">
      <c r="A246" s="1"/>
      <c r="B246" s="68"/>
      <c r="C246" s="68"/>
      <c r="D246" s="1"/>
      <c r="E246" s="3"/>
      <c r="G246" s="63"/>
      <c r="H246" s="63"/>
      <c r="I246" s="1"/>
      <c r="J246" s="1"/>
      <c r="K246" s="1"/>
    </row>
    <row r="247" spans="1:11" s="144" customFormat="1" ht="13.5">
      <c r="A247" s="1"/>
      <c r="B247" s="68"/>
      <c r="C247" s="68"/>
      <c r="D247" s="1"/>
      <c r="E247" s="3"/>
      <c r="G247" s="63"/>
      <c r="H247" s="63"/>
      <c r="I247" s="1"/>
      <c r="J247" s="1"/>
      <c r="K247" s="1"/>
    </row>
    <row r="248" spans="1:11" s="144" customFormat="1" ht="13.5">
      <c r="A248" s="1"/>
      <c r="B248" s="68"/>
      <c r="C248" s="68"/>
      <c r="D248" s="1"/>
      <c r="E248" s="3"/>
      <c r="G248" s="63"/>
      <c r="H248" s="63"/>
      <c r="I248" s="1"/>
      <c r="J248" s="1"/>
      <c r="K248" s="1"/>
    </row>
    <row r="249" spans="1:11" s="144" customFormat="1" ht="13.5">
      <c r="A249" s="1"/>
      <c r="B249" s="68"/>
      <c r="C249" s="68"/>
      <c r="D249" s="1"/>
      <c r="E249" s="3"/>
      <c r="G249" s="63"/>
      <c r="H249" s="63"/>
      <c r="I249" s="1"/>
      <c r="J249" s="1"/>
      <c r="K249" s="1"/>
    </row>
    <row r="250" spans="1:11" s="144" customFormat="1" ht="13.5">
      <c r="A250" s="1"/>
      <c r="B250" s="68"/>
      <c r="C250" s="68"/>
      <c r="D250" s="1"/>
      <c r="E250" s="3"/>
      <c r="G250" s="63"/>
      <c r="H250" s="63"/>
      <c r="I250" s="1"/>
      <c r="J250" s="1"/>
      <c r="K250" s="1"/>
    </row>
    <row r="251" spans="1:11" s="144" customFormat="1" ht="13.5">
      <c r="A251" s="1"/>
      <c r="B251" s="68"/>
      <c r="C251" s="68"/>
      <c r="D251" s="1"/>
      <c r="E251" s="3"/>
      <c r="G251" s="63"/>
      <c r="H251" s="63"/>
      <c r="I251" s="1"/>
      <c r="J251" s="1"/>
      <c r="K251" s="1"/>
    </row>
    <row r="252" spans="1:11" s="144" customFormat="1" ht="13.5">
      <c r="A252" s="1"/>
      <c r="B252" s="68"/>
      <c r="C252" s="68"/>
      <c r="D252" s="1"/>
      <c r="E252" s="3"/>
      <c r="G252" s="63"/>
      <c r="H252" s="63"/>
      <c r="I252" s="1"/>
      <c r="J252" s="1"/>
      <c r="K252" s="1"/>
    </row>
    <row r="253" spans="1:11" s="144" customFormat="1" ht="13.5">
      <c r="A253" s="1"/>
      <c r="B253" s="68"/>
      <c r="C253" s="68"/>
      <c r="D253" s="1"/>
      <c r="E253" s="3"/>
      <c r="G253" s="63"/>
      <c r="H253" s="63"/>
      <c r="I253" s="1"/>
      <c r="J253" s="1"/>
      <c r="K253" s="1"/>
    </row>
    <row r="254" spans="1:11" s="144" customFormat="1" ht="13.5">
      <c r="A254" s="1"/>
      <c r="B254" s="68"/>
      <c r="C254" s="68"/>
      <c r="D254" s="1"/>
      <c r="E254" s="3"/>
      <c r="G254" s="63"/>
      <c r="H254" s="63"/>
      <c r="I254" s="1"/>
      <c r="J254" s="1"/>
      <c r="K254" s="1"/>
    </row>
    <row r="255" spans="1:11" s="144" customFormat="1" ht="13.5">
      <c r="A255" s="1"/>
      <c r="B255" s="68"/>
      <c r="C255" s="68"/>
      <c r="D255" s="1"/>
      <c r="E255" s="3"/>
      <c r="G255" s="63"/>
      <c r="H255" s="63"/>
      <c r="I255" s="1"/>
      <c r="J255" s="1"/>
      <c r="K255" s="1"/>
    </row>
    <row r="256" spans="1:11" s="144" customFormat="1" ht="13.5">
      <c r="A256" s="1"/>
      <c r="B256" s="68"/>
      <c r="C256" s="68"/>
      <c r="D256" s="1"/>
      <c r="E256" s="3"/>
      <c r="G256" s="63"/>
      <c r="H256" s="63"/>
      <c r="I256" s="1"/>
      <c r="J256" s="1"/>
      <c r="K256" s="1"/>
    </row>
    <row r="257" spans="1:11" s="144" customFormat="1" ht="13.5">
      <c r="A257" s="1"/>
      <c r="B257" s="68"/>
      <c r="C257" s="68"/>
      <c r="D257" s="1"/>
      <c r="E257" s="3"/>
      <c r="G257" s="63"/>
      <c r="H257" s="63"/>
      <c r="I257" s="1"/>
      <c r="J257" s="1"/>
      <c r="K257" s="1"/>
    </row>
    <row r="258" spans="1:11" s="144" customFormat="1" ht="13.5">
      <c r="A258" s="1"/>
      <c r="B258" s="68"/>
      <c r="C258" s="68"/>
      <c r="D258" s="1"/>
      <c r="E258" s="3"/>
      <c r="G258" s="63"/>
      <c r="H258" s="63"/>
      <c r="I258" s="1"/>
      <c r="J258" s="1"/>
      <c r="K258" s="1"/>
    </row>
    <row r="259" spans="1:11" s="144" customFormat="1" ht="13.5">
      <c r="A259" s="1"/>
      <c r="B259" s="68"/>
      <c r="C259" s="68"/>
      <c r="D259" s="1"/>
      <c r="E259" s="3"/>
      <c r="G259" s="63"/>
      <c r="H259" s="63"/>
      <c r="I259" s="1"/>
      <c r="J259" s="1"/>
      <c r="K259" s="1"/>
    </row>
    <row r="260" spans="1:11" s="144" customFormat="1" ht="13.5">
      <c r="A260" s="1"/>
      <c r="B260" s="68"/>
      <c r="C260" s="68"/>
      <c r="D260" s="1"/>
      <c r="E260" s="3"/>
      <c r="G260" s="63"/>
      <c r="H260" s="63"/>
      <c r="I260" s="1"/>
      <c r="J260" s="1"/>
      <c r="K260" s="1"/>
    </row>
    <row r="261" spans="1:11" s="144" customFormat="1" ht="13.5">
      <c r="A261" s="1"/>
      <c r="B261" s="68"/>
      <c r="C261" s="68"/>
      <c r="D261" s="1"/>
      <c r="E261" s="3"/>
      <c r="G261" s="63"/>
      <c r="H261" s="63"/>
      <c r="I261" s="1"/>
      <c r="J261" s="1"/>
      <c r="K261" s="1"/>
    </row>
    <row r="262" spans="1:11" s="144" customFormat="1" ht="13.5">
      <c r="A262" s="1"/>
      <c r="B262" s="68"/>
      <c r="C262" s="68"/>
      <c r="D262" s="1"/>
      <c r="E262" s="3"/>
      <c r="G262" s="63"/>
      <c r="H262" s="63"/>
      <c r="I262" s="1"/>
      <c r="J262" s="1"/>
      <c r="K262" s="1"/>
    </row>
    <row r="263" spans="1:11" s="144" customFormat="1" ht="13.5">
      <c r="A263" s="1"/>
      <c r="B263" s="68"/>
      <c r="C263" s="68"/>
      <c r="D263" s="1"/>
      <c r="E263" s="3"/>
      <c r="G263" s="63"/>
      <c r="H263" s="63"/>
      <c r="I263" s="1"/>
      <c r="J263" s="1"/>
      <c r="K263" s="1"/>
    </row>
    <row r="264" spans="1:11" s="144" customFormat="1" ht="13.5">
      <c r="A264" s="1"/>
      <c r="B264" s="68"/>
      <c r="C264" s="68"/>
      <c r="D264" s="1"/>
      <c r="E264" s="3"/>
      <c r="G264" s="63"/>
      <c r="H264" s="63"/>
      <c r="I264" s="1"/>
      <c r="J264" s="1"/>
      <c r="K264" s="1"/>
    </row>
    <row r="265" spans="1:11" s="144" customFormat="1" ht="13.5">
      <c r="A265" s="1"/>
      <c r="B265" s="68"/>
      <c r="C265" s="68"/>
      <c r="D265" s="1"/>
      <c r="E265" s="3"/>
      <c r="G265" s="63"/>
      <c r="H265" s="63"/>
      <c r="I265" s="1"/>
      <c r="J265" s="1"/>
      <c r="K265" s="1"/>
    </row>
    <row r="266" spans="1:11" s="144" customFormat="1" ht="13.5">
      <c r="A266" s="1"/>
      <c r="B266" s="68"/>
      <c r="C266" s="68"/>
      <c r="D266" s="1"/>
      <c r="E266" s="3"/>
      <c r="G266" s="63"/>
      <c r="H266" s="63"/>
      <c r="I266" s="1"/>
      <c r="J266" s="1"/>
      <c r="K266" s="1"/>
    </row>
    <row r="267" spans="1:11" s="144" customFormat="1" ht="13.5">
      <c r="A267" s="1"/>
      <c r="B267" s="68"/>
      <c r="C267" s="68"/>
      <c r="D267" s="1"/>
      <c r="E267" s="3"/>
      <c r="G267" s="63"/>
      <c r="H267" s="63"/>
      <c r="I267" s="1"/>
      <c r="J267" s="1"/>
      <c r="K267" s="1"/>
    </row>
    <row r="268" spans="1:11" s="144" customFormat="1" ht="13.5">
      <c r="A268" s="1"/>
      <c r="B268" s="68"/>
      <c r="C268" s="68"/>
      <c r="D268" s="1"/>
      <c r="E268" s="3"/>
      <c r="G268" s="63"/>
      <c r="H268" s="63"/>
      <c r="I268" s="1"/>
      <c r="J268" s="1"/>
      <c r="K268" s="1"/>
    </row>
    <row r="269" spans="1:11" s="144" customFormat="1" ht="13.5">
      <c r="A269" s="1"/>
      <c r="B269" s="68"/>
      <c r="C269" s="68"/>
      <c r="D269" s="1"/>
      <c r="E269" s="3"/>
      <c r="G269" s="63"/>
      <c r="H269" s="63"/>
      <c r="I269" s="1"/>
      <c r="J269" s="1"/>
      <c r="K269" s="1"/>
    </row>
    <row r="270" spans="1:11" s="144" customFormat="1" ht="13.5">
      <c r="A270" s="1"/>
      <c r="B270" s="68"/>
      <c r="C270" s="68"/>
      <c r="D270" s="1"/>
      <c r="E270" s="3"/>
      <c r="G270" s="63"/>
      <c r="H270" s="63"/>
      <c r="I270" s="1"/>
      <c r="J270" s="1"/>
      <c r="K270" s="1"/>
    </row>
    <row r="271" spans="1:11" s="144" customFormat="1" ht="13.5">
      <c r="A271" s="1"/>
      <c r="B271" s="68"/>
      <c r="C271" s="68"/>
      <c r="D271" s="1"/>
      <c r="E271" s="3"/>
      <c r="G271" s="63"/>
      <c r="H271" s="63"/>
      <c r="I271" s="1"/>
      <c r="J271" s="1"/>
      <c r="K271" s="1"/>
    </row>
    <row r="272" spans="1:11" s="144" customFormat="1" ht="13.5">
      <c r="A272" s="1"/>
      <c r="B272" s="68"/>
      <c r="C272" s="68"/>
      <c r="D272" s="1"/>
      <c r="E272" s="3"/>
      <c r="G272" s="63"/>
      <c r="H272" s="63"/>
      <c r="I272" s="1"/>
      <c r="J272" s="1"/>
      <c r="K272" s="1"/>
    </row>
    <row r="273" spans="1:11" s="144" customFormat="1" ht="13.5">
      <c r="A273" s="1"/>
      <c r="B273" s="68"/>
      <c r="C273" s="68"/>
      <c r="D273" s="1"/>
      <c r="E273" s="3"/>
      <c r="G273" s="63"/>
      <c r="H273" s="63"/>
      <c r="I273" s="1"/>
      <c r="J273" s="1"/>
      <c r="K273" s="1"/>
    </row>
    <row r="274" spans="1:11" s="144" customFormat="1" ht="13.5">
      <c r="A274" s="1"/>
      <c r="B274" s="68"/>
      <c r="C274" s="68"/>
      <c r="D274" s="1"/>
      <c r="E274" s="3"/>
      <c r="G274" s="63"/>
      <c r="H274" s="63"/>
      <c r="I274" s="1"/>
      <c r="J274" s="1"/>
      <c r="K274" s="1"/>
    </row>
    <row r="275" spans="1:11" s="144" customFormat="1" ht="13.5">
      <c r="A275" s="1"/>
      <c r="B275" s="68"/>
      <c r="C275" s="68"/>
      <c r="D275" s="1"/>
      <c r="E275" s="3"/>
      <c r="G275" s="63"/>
      <c r="H275" s="63"/>
      <c r="I275" s="1"/>
      <c r="J275" s="1"/>
      <c r="K275" s="1"/>
    </row>
    <row r="276" spans="1:11" s="144" customFormat="1" ht="13.5">
      <c r="A276" s="1"/>
      <c r="B276" s="68"/>
      <c r="C276" s="68"/>
      <c r="D276" s="1"/>
      <c r="E276" s="3"/>
      <c r="G276" s="63"/>
      <c r="H276" s="63"/>
      <c r="I276" s="1"/>
      <c r="J276" s="1"/>
      <c r="K276" s="1"/>
    </row>
    <row r="277" spans="1:11" s="144" customFormat="1" ht="13.5">
      <c r="A277" s="1"/>
      <c r="B277" s="68"/>
      <c r="C277" s="68"/>
      <c r="D277" s="1"/>
      <c r="E277" s="3"/>
      <c r="G277" s="63"/>
      <c r="H277" s="63"/>
      <c r="I277" s="1"/>
      <c r="J277" s="1"/>
      <c r="K277" s="1"/>
    </row>
    <row r="278" spans="1:11" s="144" customFormat="1" ht="13.5">
      <c r="A278" s="1"/>
      <c r="B278" s="68"/>
      <c r="C278" s="68"/>
      <c r="D278" s="1"/>
      <c r="E278" s="3"/>
      <c r="G278" s="63"/>
      <c r="H278" s="63"/>
      <c r="I278" s="1"/>
      <c r="J278" s="1"/>
      <c r="K278" s="1"/>
    </row>
    <row r="279" spans="1:11" s="144" customFormat="1" ht="13.5">
      <c r="A279" s="1"/>
      <c r="B279" s="68"/>
      <c r="C279" s="68"/>
      <c r="D279" s="1"/>
      <c r="E279" s="3"/>
      <c r="G279" s="63"/>
      <c r="H279" s="63"/>
      <c r="I279" s="1"/>
      <c r="J279" s="1"/>
      <c r="K279" s="1"/>
    </row>
    <row r="280" spans="1:11" s="144" customFormat="1" ht="13.5">
      <c r="A280" s="1"/>
      <c r="B280" s="68"/>
      <c r="C280" s="68"/>
      <c r="D280" s="1"/>
      <c r="E280" s="3"/>
      <c r="G280" s="63"/>
      <c r="H280" s="63"/>
      <c r="I280" s="1"/>
      <c r="J280" s="1"/>
      <c r="K280" s="1"/>
    </row>
    <row r="281" spans="1:11" s="144" customFormat="1" ht="13.5">
      <c r="A281" s="1"/>
      <c r="B281" s="68"/>
      <c r="C281" s="68"/>
      <c r="D281" s="1"/>
      <c r="E281" s="3"/>
      <c r="G281" s="63"/>
      <c r="H281" s="63"/>
      <c r="I281" s="1"/>
      <c r="J281" s="1"/>
      <c r="K281" s="1"/>
    </row>
    <row r="282" spans="1:11" s="144" customFormat="1" ht="13.5">
      <c r="A282" s="1"/>
      <c r="B282" s="68"/>
      <c r="C282" s="68"/>
      <c r="D282" s="1"/>
      <c r="E282" s="3"/>
      <c r="G282" s="63"/>
      <c r="H282" s="63"/>
      <c r="I282" s="1"/>
      <c r="J282" s="1"/>
      <c r="K282" s="1"/>
    </row>
    <row r="283" spans="1:11" s="144" customFormat="1" ht="13.5">
      <c r="A283" s="1"/>
      <c r="B283" s="68"/>
      <c r="C283" s="68"/>
      <c r="D283" s="1"/>
      <c r="E283" s="3"/>
      <c r="G283" s="63"/>
      <c r="H283" s="63"/>
      <c r="I283" s="1"/>
      <c r="J283" s="1"/>
      <c r="K283" s="1"/>
    </row>
    <row r="284" spans="1:11" s="144" customFormat="1" ht="13.5">
      <c r="A284" s="1"/>
      <c r="B284" s="68"/>
      <c r="C284" s="68"/>
      <c r="D284" s="1"/>
      <c r="E284" s="3"/>
      <c r="G284" s="63"/>
      <c r="H284" s="63"/>
      <c r="I284" s="1"/>
      <c r="J284" s="1"/>
      <c r="K284" s="1"/>
    </row>
    <row r="285" spans="1:11" s="144" customFormat="1" ht="13.5">
      <c r="A285" s="1"/>
      <c r="B285" s="68"/>
      <c r="C285" s="68"/>
      <c r="D285" s="1"/>
      <c r="E285" s="3"/>
      <c r="G285" s="63"/>
      <c r="H285" s="63"/>
      <c r="I285" s="1"/>
      <c r="J285" s="1"/>
      <c r="K285" s="1"/>
    </row>
    <row r="286" spans="1:11" s="144" customFormat="1" ht="13.5">
      <c r="A286" s="1"/>
      <c r="B286" s="68"/>
      <c r="C286" s="68"/>
      <c r="D286" s="1"/>
      <c r="E286" s="3"/>
      <c r="G286" s="63"/>
      <c r="H286" s="63"/>
      <c r="I286" s="1"/>
      <c r="J286" s="1"/>
      <c r="K286" s="1"/>
    </row>
    <row r="287" spans="1:11" s="144" customFormat="1" ht="13.5">
      <c r="A287" s="1"/>
      <c r="B287" s="68"/>
      <c r="C287" s="68"/>
      <c r="D287" s="1"/>
      <c r="E287" s="3"/>
      <c r="G287" s="63"/>
      <c r="H287" s="63"/>
      <c r="I287" s="1"/>
      <c r="J287" s="1"/>
      <c r="K287" s="1"/>
    </row>
    <row r="288" spans="1:11" s="144" customFormat="1" ht="13.5">
      <c r="A288" s="1"/>
      <c r="B288" s="68"/>
      <c r="C288" s="68"/>
      <c r="D288" s="1"/>
      <c r="E288" s="3"/>
      <c r="G288" s="63"/>
      <c r="H288" s="63"/>
      <c r="I288" s="1"/>
      <c r="J288" s="1"/>
      <c r="K288" s="1"/>
    </row>
    <row r="289" spans="1:11" s="144" customFormat="1" ht="13.5">
      <c r="A289" s="1"/>
      <c r="B289" s="68"/>
      <c r="C289" s="68"/>
      <c r="D289" s="1"/>
      <c r="E289" s="3"/>
      <c r="G289" s="63"/>
      <c r="H289" s="63"/>
      <c r="I289" s="1"/>
      <c r="J289" s="1"/>
      <c r="K289" s="1"/>
    </row>
    <row r="290" spans="1:11" s="144" customFormat="1" ht="13.5">
      <c r="A290" s="1"/>
      <c r="B290" s="68"/>
      <c r="C290" s="68"/>
      <c r="D290" s="1"/>
      <c r="E290" s="3"/>
      <c r="G290" s="63"/>
      <c r="H290" s="63"/>
      <c r="I290" s="1"/>
      <c r="J290" s="1"/>
      <c r="K290" s="1"/>
    </row>
    <row r="291" spans="1:11" s="144" customFormat="1" ht="13.5">
      <c r="A291" s="1"/>
      <c r="B291" s="68"/>
      <c r="C291" s="68"/>
      <c r="D291" s="1"/>
      <c r="E291" s="3"/>
      <c r="G291" s="63"/>
      <c r="H291" s="63"/>
      <c r="I291" s="1"/>
      <c r="J291" s="1"/>
      <c r="K291" s="1"/>
    </row>
    <row r="292" spans="1:11" s="144" customFormat="1" ht="13.5">
      <c r="A292" s="1"/>
      <c r="B292" s="68"/>
      <c r="C292" s="68"/>
      <c r="D292" s="1"/>
      <c r="E292" s="3"/>
      <c r="G292" s="63"/>
      <c r="H292" s="63"/>
      <c r="I292" s="1"/>
      <c r="J292" s="1"/>
      <c r="K292" s="1"/>
    </row>
    <row r="293" spans="1:11" s="144" customFormat="1" ht="13.5">
      <c r="A293" s="1"/>
      <c r="B293" s="68"/>
      <c r="C293" s="68"/>
      <c r="D293" s="1"/>
      <c r="E293" s="3"/>
      <c r="G293" s="63"/>
      <c r="H293" s="63"/>
      <c r="I293" s="1"/>
      <c r="J293" s="1"/>
      <c r="K293" s="1"/>
    </row>
    <row r="294" spans="1:11" s="144" customFormat="1" ht="13.5">
      <c r="A294" s="1"/>
      <c r="B294" s="68"/>
      <c r="C294" s="68"/>
      <c r="D294" s="1"/>
      <c r="E294" s="3"/>
      <c r="G294" s="63"/>
      <c r="H294" s="63"/>
      <c r="I294" s="1"/>
      <c r="J294" s="1"/>
      <c r="K294" s="1"/>
    </row>
    <row r="295" spans="1:11" s="144" customFormat="1" ht="13.5">
      <c r="A295" s="1"/>
      <c r="B295" s="68"/>
      <c r="C295" s="68"/>
      <c r="D295" s="1"/>
      <c r="E295" s="3"/>
      <c r="G295" s="63"/>
      <c r="H295" s="63"/>
      <c r="I295" s="1"/>
      <c r="J295" s="1"/>
      <c r="K295" s="1"/>
    </row>
    <row r="296" spans="1:11" s="144" customFormat="1" ht="13.5">
      <c r="A296" s="1"/>
      <c r="B296" s="68"/>
      <c r="C296" s="68"/>
      <c r="D296" s="1"/>
      <c r="E296" s="3"/>
      <c r="G296" s="63"/>
      <c r="H296" s="63"/>
      <c r="I296" s="1"/>
      <c r="J296" s="1"/>
      <c r="K296" s="1"/>
    </row>
    <row r="297" spans="1:11" s="144" customFormat="1" ht="13.5">
      <c r="A297" s="1"/>
      <c r="B297" s="68"/>
      <c r="C297" s="68"/>
      <c r="D297" s="1"/>
      <c r="E297" s="3"/>
      <c r="G297" s="63"/>
      <c r="H297" s="63"/>
      <c r="I297" s="1"/>
      <c r="J297" s="1"/>
      <c r="K297" s="1"/>
    </row>
    <row r="298" spans="1:11" s="144" customFormat="1" ht="13.5">
      <c r="A298" s="1"/>
      <c r="B298" s="68"/>
      <c r="C298" s="68"/>
      <c r="D298" s="1"/>
      <c r="E298" s="3"/>
      <c r="G298" s="63"/>
      <c r="H298" s="63"/>
      <c r="I298" s="1"/>
      <c r="J298" s="1"/>
      <c r="K298" s="1"/>
    </row>
    <row r="299" spans="1:11" s="144" customFormat="1" ht="13.5">
      <c r="A299" s="1"/>
      <c r="B299" s="68"/>
      <c r="C299" s="68"/>
      <c r="D299" s="1"/>
      <c r="E299" s="3"/>
      <c r="G299" s="63"/>
      <c r="H299" s="63"/>
      <c r="I299" s="1"/>
      <c r="J299" s="1"/>
      <c r="K299" s="1"/>
    </row>
    <row r="300" spans="1:11" s="144" customFormat="1" ht="13.5">
      <c r="A300" s="1"/>
      <c r="B300" s="68"/>
      <c r="C300" s="68"/>
      <c r="D300" s="1"/>
      <c r="E300" s="3"/>
      <c r="G300" s="63"/>
      <c r="H300" s="63"/>
      <c r="I300" s="1"/>
      <c r="J300" s="1"/>
      <c r="K300" s="1"/>
    </row>
    <row r="301" spans="1:11" s="144" customFormat="1" ht="13.5">
      <c r="A301" s="1"/>
      <c r="B301" s="68"/>
      <c r="C301" s="68"/>
      <c r="D301" s="1"/>
      <c r="E301" s="3"/>
      <c r="G301" s="63"/>
      <c r="H301" s="63"/>
      <c r="I301" s="1"/>
      <c r="J301" s="1"/>
      <c r="K301" s="1"/>
    </row>
    <row r="302" spans="1:11" s="144" customFormat="1" ht="13.5">
      <c r="A302" s="1"/>
      <c r="B302" s="68"/>
      <c r="C302" s="68"/>
      <c r="D302" s="1"/>
      <c r="E302" s="3"/>
      <c r="G302" s="63"/>
      <c r="H302" s="63"/>
      <c r="I302" s="1"/>
      <c r="J302" s="1"/>
      <c r="K302" s="1"/>
    </row>
    <row r="303" spans="1:11" s="144" customFormat="1" ht="13.5">
      <c r="A303" s="1"/>
      <c r="B303" s="68"/>
      <c r="C303" s="68"/>
      <c r="D303" s="1"/>
      <c r="E303" s="3"/>
      <c r="G303" s="63"/>
      <c r="H303" s="63"/>
      <c r="I303" s="1"/>
      <c r="J303" s="1"/>
      <c r="K303" s="1"/>
    </row>
    <row r="304" spans="1:11" s="144" customFormat="1" ht="13.5">
      <c r="A304" s="1"/>
      <c r="B304" s="68"/>
      <c r="C304" s="68"/>
      <c r="D304" s="1"/>
      <c r="E304" s="3"/>
      <c r="G304" s="63"/>
      <c r="H304" s="63"/>
      <c r="I304" s="1"/>
      <c r="J304" s="1"/>
      <c r="K304" s="1"/>
    </row>
    <row r="305" spans="1:11" s="144" customFormat="1" ht="13.5">
      <c r="A305" s="1"/>
      <c r="B305" s="68"/>
      <c r="C305" s="68"/>
      <c r="D305" s="1"/>
      <c r="E305" s="3"/>
      <c r="G305" s="63"/>
      <c r="H305" s="63"/>
      <c r="I305" s="1"/>
      <c r="J305" s="1"/>
      <c r="K305" s="1"/>
    </row>
    <row r="306" spans="1:11" s="144" customFormat="1" ht="13.5">
      <c r="A306" s="1"/>
      <c r="B306" s="68"/>
      <c r="C306" s="68"/>
      <c r="D306" s="1"/>
      <c r="E306" s="3"/>
      <c r="G306" s="63"/>
      <c r="H306" s="63"/>
      <c r="I306" s="1"/>
      <c r="J306" s="1"/>
      <c r="K306" s="1"/>
    </row>
    <row r="307" spans="1:11" s="144" customFormat="1" ht="13.5">
      <c r="A307" s="1"/>
      <c r="B307" s="68"/>
      <c r="C307" s="68"/>
      <c r="D307" s="1"/>
      <c r="E307" s="3"/>
      <c r="G307" s="63"/>
      <c r="H307" s="63"/>
      <c r="I307" s="1"/>
      <c r="J307" s="1"/>
      <c r="K307" s="1"/>
    </row>
    <row r="308" spans="1:11" s="144" customFormat="1" ht="13.5">
      <c r="A308" s="1"/>
      <c r="B308" s="68"/>
      <c r="C308" s="68"/>
      <c r="D308" s="1"/>
      <c r="E308" s="3"/>
      <c r="G308" s="63"/>
      <c r="H308" s="63"/>
      <c r="I308" s="1"/>
      <c r="J308" s="1"/>
      <c r="K308" s="1"/>
    </row>
    <row r="309" spans="1:11" s="144" customFormat="1" ht="13.5">
      <c r="A309" s="1"/>
      <c r="B309" s="68"/>
      <c r="C309" s="68"/>
      <c r="D309" s="1"/>
      <c r="E309" s="3"/>
      <c r="G309" s="63"/>
      <c r="H309" s="63"/>
      <c r="I309" s="1"/>
      <c r="J309" s="1"/>
      <c r="K309" s="1"/>
    </row>
    <row r="310" spans="1:11" s="144" customFormat="1" ht="13.5">
      <c r="A310" s="1"/>
      <c r="B310" s="68"/>
      <c r="C310" s="68"/>
      <c r="D310" s="1"/>
      <c r="E310" s="3"/>
      <c r="G310" s="63"/>
      <c r="H310" s="63"/>
      <c r="I310" s="1"/>
      <c r="J310" s="1"/>
      <c r="K310" s="1"/>
    </row>
    <row r="311" spans="1:11" s="144" customFormat="1" ht="13.5">
      <c r="A311" s="1"/>
      <c r="B311" s="68"/>
      <c r="C311" s="68"/>
      <c r="D311" s="1"/>
      <c r="E311" s="3"/>
      <c r="G311" s="63"/>
      <c r="H311" s="63"/>
      <c r="I311" s="1"/>
      <c r="J311" s="1"/>
      <c r="K311" s="1"/>
    </row>
    <row r="312" spans="1:11" s="144" customFormat="1" ht="13.5">
      <c r="A312" s="1"/>
      <c r="B312" s="68"/>
      <c r="C312" s="68"/>
      <c r="D312" s="1"/>
      <c r="E312" s="3"/>
      <c r="G312" s="63"/>
      <c r="H312" s="63"/>
      <c r="I312" s="1"/>
      <c r="J312" s="1"/>
      <c r="K312" s="1"/>
    </row>
    <row r="313" spans="1:11" s="144" customFormat="1" ht="13.5">
      <c r="A313" s="1"/>
      <c r="B313" s="68"/>
      <c r="C313" s="68"/>
      <c r="D313" s="1"/>
      <c r="E313" s="3"/>
      <c r="G313" s="63"/>
      <c r="H313" s="63"/>
      <c r="I313" s="1"/>
      <c r="J313" s="1"/>
      <c r="K313" s="1"/>
    </row>
    <row r="314" spans="1:11" s="144" customFormat="1" ht="13.5">
      <c r="A314" s="1"/>
      <c r="B314" s="68"/>
      <c r="C314" s="68"/>
      <c r="D314" s="1"/>
      <c r="E314" s="3"/>
      <c r="G314" s="63"/>
      <c r="H314" s="63"/>
      <c r="I314" s="1"/>
      <c r="J314" s="1"/>
      <c r="K314" s="1"/>
    </row>
    <row r="315" spans="1:11" s="144" customFormat="1" ht="13.5">
      <c r="A315" s="1"/>
      <c r="B315" s="68"/>
      <c r="C315" s="68"/>
      <c r="D315" s="1"/>
      <c r="E315" s="3"/>
      <c r="G315" s="63"/>
      <c r="H315" s="63"/>
      <c r="I315" s="1"/>
      <c r="J315" s="1"/>
      <c r="K315" s="1"/>
    </row>
    <row r="316" spans="1:11" s="144" customFormat="1" ht="13.5">
      <c r="A316" s="1"/>
      <c r="B316" s="68"/>
      <c r="C316" s="68"/>
      <c r="D316" s="1"/>
      <c r="E316" s="3"/>
      <c r="G316" s="63"/>
      <c r="H316" s="63"/>
      <c r="I316" s="1"/>
      <c r="J316" s="1"/>
      <c r="K316" s="1"/>
    </row>
    <row r="317" spans="1:11" s="144" customFormat="1" ht="13.5">
      <c r="A317" s="1"/>
      <c r="B317" s="68"/>
      <c r="C317" s="68"/>
      <c r="D317" s="1"/>
      <c r="E317" s="3"/>
      <c r="G317" s="63"/>
      <c r="H317" s="63"/>
      <c r="I317" s="1"/>
      <c r="J317" s="1"/>
      <c r="K317" s="1"/>
    </row>
    <row r="318" spans="1:11" s="144" customFormat="1" ht="13.5">
      <c r="A318" s="1"/>
      <c r="B318" s="68"/>
      <c r="C318" s="68"/>
      <c r="D318" s="1"/>
      <c r="E318" s="3"/>
      <c r="G318" s="63"/>
      <c r="H318" s="63"/>
      <c r="I318" s="1"/>
      <c r="J318" s="1"/>
      <c r="K318" s="1"/>
    </row>
    <row r="319" spans="1:11" s="144" customFormat="1" ht="13.5">
      <c r="A319" s="1"/>
      <c r="B319" s="68"/>
      <c r="C319" s="68"/>
      <c r="D319" s="1"/>
      <c r="E319" s="3"/>
      <c r="G319" s="63"/>
      <c r="H319" s="63"/>
      <c r="I319" s="1"/>
      <c r="J319" s="1"/>
      <c r="K319" s="1"/>
    </row>
    <row r="320" spans="1:11" s="144" customFormat="1" ht="13.5">
      <c r="A320" s="1"/>
      <c r="B320" s="68"/>
      <c r="C320" s="68"/>
      <c r="D320" s="1"/>
      <c r="E320" s="3"/>
      <c r="G320" s="63"/>
      <c r="H320" s="63"/>
      <c r="I320" s="1"/>
      <c r="J320" s="1"/>
      <c r="K320" s="1"/>
    </row>
    <row r="321" spans="1:11" s="144" customFormat="1" ht="13.5">
      <c r="A321" s="1"/>
      <c r="B321" s="68"/>
      <c r="C321" s="68"/>
      <c r="D321" s="1"/>
      <c r="E321" s="3"/>
      <c r="G321" s="63"/>
      <c r="H321" s="63"/>
      <c r="I321" s="1"/>
      <c r="J321" s="1"/>
      <c r="K321" s="1"/>
    </row>
    <row r="322" spans="1:11" s="144" customFormat="1" ht="13.5">
      <c r="A322" s="1"/>
      <c r="B322" s="68"/>
      <c r="C322" s="68"/>
      <c r="D322" s="1"/>
      <c r="E322" s="3"/>
      <c r="G322" s="63"/>
      <c r="H322" s="63"/>
      <c r="I322" s="1"/>
      <c r="J322" s="1"/>
      <c r="K322" s="1"/>
    </row>
    <row r="323" spans="1:11" s="144" customFormat="1" ht="13.5">
      <c r="A323" s="1"/>
      <c r="B323" s="68"/>
      <c r="C323" s="68"/>
      <c r="D323" s="1"/>
      <c r="E323" s="3"/>
      <c r="G323" s="63"/>
      <c r="H323" s="63"/>
      <c r="I323" s="1"/>
      <c r="J323" s="1"/>
      <c r="K323" s="1"/>
    </row>
    <row r="324" spans="1:11" s="144" customFormat="1" ht="13.5">
      <c r="A324" s="1"/>
      <c r="B324" s="68"/>
      <c r="C324" s="68"/>
      <c r="D324" s="1"/>
      <c r="E324" s="3"/>
      <c r="G324" s="63"/>
      <c r="H324" s="63"/>
      <c r="I324" s="1"/>
      <c r="J324" s="1"/>
      <c r="K324" s="1"/>
    </row>
    <row r="325" spans="1:11" s="144" customFormat="1" ht="13.5">
      <c r="A325" s="1"/>
      <c r="B325" s="68"/>
      <c r="C325" s="68"/>
      <c r="D325" s="1"/>
      <c r="E325" s="3"/>
      <c r="G325" s="63"/>
      <c r="H325" s="63"/>
      <c r="I325" s="1"/>
      <c r="J325" s="1"/>
      <c r="K325" s="1"/>
    </row>
    <row r="326" spans="1:11" s="144" customFormat="1" ht="13.5">
      <c r="A326" s="1"/>
      <c r="B326" s="68"/>
      <c r="C326" s="68"/>
      <c r="D326" s="1"/>
      <c r="E326" s="3"/>
      <c r="G326" s="63"/>
      <c r="H326" s="63"/>
      <c r="I326" s="1"/>
      <c r="J326" s="1"/>
      <c r="K326" s="1"/>
    </row>
    <row r="327" spans="1:11" s="144" customFormat="1" ht="13.5">
      <c r="A327" s="1"/>
      <c r="B327" s="68"/>
      <c r="C327" s="68"/>
      <c r="D327" s="1"/>
      <c r="E327" s="3"/>
      <c r="G327" s="63"/>
      <c r="H327" s="63"/>
      <c r="I327" s="1"/>
      <c r="J327" s="1"/>
      <c r="K327" s="1"/>
    </row>
    <row r="328" spans="1:11" s="144" customFormat="1" ht="13.5">
      <c r="A328" s="1"/>
      <c r="B328" s="68"/>
      <c r="C328" s="68"/>
      <c r="D328" s="1"/>
      <c r="E328" s="3"/>
      <c r="G328" s="63"/>
      <c r="H328" s="63"/>
      <c r="I328" s="1"/>
      <c r="J328" s="1"/>
      <c r="K328" s="1"/>
    </row>
    <row r="329" spans="1:11" s="144" customFormat="1" ht="13.5">
      <c r="A329" s="1"/>
      <c r="B329" s="68"/>
      <c r="C329" s="68"/>
      <c r="D329" s="1"/>
      <c r="E329" s="3"/>
      <c r="G329" s="63"/>
      <c r="H329" s="63"/>
      <c r="I329" s="1"/>
      <c r="J329" s="1"/>
      <c r="K329" s="1"/>
    </row>
    <row r="330" spans="1:11" s="144" customFormat="1" ht="13.5">
      <c r="A330" s="1"/>
      <c r="B330" s="68"/>
      <c r="C330" s="68"/>
      <c r="D330" s="1"/>
      <c r="E330" s="3"/>
      <c r="G330" s="63"/>
      <c r="H330" s="63"/>
      <c r="I330" s="1"/>
      <c r="J330" s="1"/>
      <c r="K330" s="1"/>
    </row>
    <row r="331" spans="1:11" s="144" customFormat="1" ht="13.5">
      <c r="A331" s="1"/>
      <c r="B331" s="68"/>
      <c r="C331" s="68"/>
      <c r="D331" s="1"/>
      <c r="E331" s="3"/>
      <c r="G331" s="63"/>
      <c r="H331" s="63"/>
      <c r="I331" s="1"/>
      <c r="J331" s="1"/>
      <c r="K331" s="1"/>
    </row>
    <row r="332" spans="1:11" s="144" customFormat="1" ht="13.5">
      <c r="A332" s="1"/>
      <c r="B332" s="68"/>
      <c r="C332" s="68"/>
      <c r="D332" s="1"/>
      <c r="E332" s="3"/>
      <c r="G332" s="63"/>
      <c r="H332" s="63"/>
      <c r="I332" s="1"/>
      <c r="J332" s="1"/>
      <c r="K332" s="1"/>
    </row>
    <row r="333" spans="1:11" s="144" customFormat="1" ht="13.5">
      <c r="A333" s="1"/>
      <c r="B333" s="68"/>
      <c r="C333" s="68"/>
      <c r="D333" s="1"/>
      <c r="E333" s="3"/>
      <c r="G333" s="63"/>
      <c r="H333" s="63"/>
      <c r="I333" s="1"/>
      <c r="J333" s="1"/>
      <c r="K333" s="1"/>
    </row>
    <row r="334" spans="1:11" s="144" customFormat="1" ht="13.5">
      <c r="A334" s="1"/>
      <c r="B334" s="68"/>
      <c r="C334" s="68"/>
      <c r="D334" s="1"/>
      <c r="E334" s="3"/>
      <c r="G334" s="63"/>
      <c r="H334" s="63"/>
      <c r="I334" s="1"/>
      <c r="J334" s="1"/>
      <c r="K334" s="1"/>
    </row>
    <row r="335" spans="1:11" s="144" customFormat="1" ht="13.5">
      <c r="A335" s="1"/>
      <c r="B335" s="68"/>
      <c r="C335" s="68"/>
      <c r="D335" s="1"/>
      <c r="E335" s="3"/>
      <c r="G335" s="63"/>
      <c r="H335" s="63"/>
      <c r="I335" s="1"/>
      <c r="J335" s="1"/>
      <c r="K335" s="1"/>
    </row>
    <row r="336" spans="1:11" s="144" customFormat="1" ht="13.5">
      <c r="A336" s="1"/>
      <c r="B336" s="68"/>
      <c r="C336" s="68"/>
      <c r="D336" s="1"/>
      <c r="E336" s="3"/>
      <c r="G336" s="63"/>
      <c r="H336" s="63"/>
      <c r="I336" s="1"/>
      <c r="J336" s="1"/>
      <c r="K336" s="1"/>
    </row>
    <row r="337" spans="1:11" s="144" customFormat="1" ht="13.5">
      <c r="A337" s="1"/>
      <c r="B337" s="68"/>
      <c r="C337" s="68"/>
      <c r="D337" s="1"/>
      <c r="E337" s="3"/>
      <c r="G337" s="63"/>
      <c r="H337" s="63"/>
      <c r="I337" s="1"/>
      <c r="J337" s="1"/>
      <c r="K337" s="1"/>
    </row>
    <row r="338" spans="1:11" s="144" customFormat="1" ht="13.5">
      <c r="A338" s="1"/>
      <c r="B338" s="68"/>
      <c r="C338" s="68"/>
      <c r="D338" s="1"/>
      <c r="E338" s="3"/>
      <c r="G338" s="63"/>
      <c r="H338" s="63"/>
      <c r="I338" s="1"/>
      <c r="J338" s="1"/>
      <c r="K338" s="1"/>
    </row>
    <row r="339" spans="1:11" s="144" customFormat="1" ht="13.5">
      <c r="A339" s="1"/>
      <c r="B339" s="68"/>
      <c r="C339" s="68"/>
      <c r="D339" s="1"/>
      <c r="E339" s="3"/>
      <c r="G339" s="63"/>
      <c r="H339" s="63"/>
      <c r="I339" s="1"/>
      <c r="J339" s="1"/>
      <c r="K339" s="1"/>
    </row>
    <row r="340" spans="1:11" s="144" customFormat="1" ht="13.5">
      <c r="A340" s="1"/>
      <c r="B340" s="68"/>
      <c r="C340" s="68"/>
      <c r="D340" s="1"/>
      <c r="E340" s="3"/>
      <c r="G340" s="63"/>
      <c r="H340" s="63"/>
      <c r="I340" s="1"/>
      <c r="J340" s="1"/>
      <c r="K340" s="1"/>
    </row>
    <row r="341" spans="1:11" s="144" customFormat="1" ht="13.5">
      <c r="A341" s="1"/>
      <c r="B341" s="68"/>
      <c r="C341" s="68"/>
      <c r="D341" s="1"/>
      <c r="E341" s="3"/>
      <c r="G341" s="63"/>
      <c r="H341" s="63"/>
      <c r="I341" s="1"/>
      <c r="J341" s="1"/>
      <c r="K341" s="1"/>
    </row>
    <row r="342" spans="1:11" s="144" customFormat="1" ht="13.5">
      <c r="A342" s="1"/>
      <c r="B342" s="68"/>
      <c r="C342" s="68"/>
      <c r="D342" s="1"/>
      <c r="E342" s="3"/>
      <c r="G342" s="63"/>
      <c r="H342" s="63"/>
      <c r="I342" s="1"/>
      <c r="J342" s="1"/>
      <c r="K342" s="1"/>
    </row>
    <row r="343" spans="1:11" s="144" customFormat="1" ht="13.5">
      <c r="A343" s="1"/>
      <c r="B343" s="68"/>
      <c r="C343" s="68"/>
      <c r="D343" s="1"/>
      <c r="E343" s="3"/>
      <c r="G343" s="63"/>
      <c r="H343" s="63"/>
      <c r="I343" s="1"/>
      <c r="J343" s="1"/>
      <c r="K343" s="1"/>
    </row>
    <row r="344" spans="1:11" s="144" customFormat="1" ht="13.5">
      <c r="A344" s="1"/>
      <c r="B344" s="68"/>
      <c r="C344" s="68"/>
      <c r="D344" s="1"/>
      <c r="E344" s="3"/>
      <c r="G344" s="63"/>
      <c r="H344" s="63"/>
      <c r="I344" s="1"/>
      <c r="J344" s="1"/>
      <c r="K344" s="1"/>
    </row>
    <row r="345" spans="1:11" s="144" customFormat="1" ht="13.5">
      <c r="A345" s="1"/>
      <c r="B345" s="68"/>
      <c r="C345" s="68"/>
      <c r="D345" s="1"/>
      <c r="E345" s="3"/>
      <c r="G345" s="63"/>
      <c r="H345" s="63"/>
      <c r="I345" s="1"/>
      <c r="J345" s="1"/>
      <c r="K345" s="1"/>
    </row>
    <row r="346" spans="1:11" s="144" customFormat="1" ht="13.5">
      <c r="A346" s="1"/>
      <c r="B346" s="68"/>
      <c r="C346" s="68"/>
      <c r="D346" s="1"/>
      <c r="E346" s="3"/>
      <c r="G346" s="63"/>
      <c r="H346" s="63"/>
      <c r="I346" s="1"/>
      <c r="J346" s="1"/>
      <c r="K346" s="1"/>
    </row>
    <row r="347" spans="1:11" s="144" customFormat="1" ht="13.5">
      <c r="A347" s="1"/>
      <c r="B347" s="68"/>
      <c r="C347" s="68"/>
      <c r="D347" s="1"/>
      <c r="E347" s="3"/>
      <c r="G347" s="63"/>
      <c r="H347" s="63"/>
      <c r="I347" s="1"/>
      <c r="J347" s="1"/>
      <c r="K347" s="1"/>
    </row>
    <row r="348" spans="1:11" s="144" customFormat="1" ht="13.5">
      <c r="A348" s="1"/>
      <c r="B348" s="68"/>
      <c r="C348" s="68"/>
      <c r="D348" s="1"/>
      <c r="E348" s="3"/>
      <c r="G348" s="63"/>
      <c r="H348" s="63"/>
      <c r="I348" s="1"/>
      <c r="J348" s="1"/>
      <c r="K348" s="1"/>
    </row>
    <row r="349" spans="1:11" s="144" customFormat="1" ht="13.5">
      <c r="A349" s="1"/>
      <c r="B349" s="68"/>
      <c r="C349" s="68"/>
      <c r="D349" s="1"/>
      <c r="E349" s="3"/>
      <c r="G349" s="63"/>
      <c r="H349" s="63"/>
      <c r="I349" s="1"/>
      <c r="J349" s="1"/>
      <c r="K349" s="1"/>
    </row>
    <row r="350" spans="1:11" s="144" customFormat="1" ht="13.5">
      <c r="A350" s="1"/>
      <c r="B350" s="68"/>
      <c r="C350" s="68"/>
      <c r="D350" s="1"/>
      <c r="E350" s="3"/>
      <c r="G350" s="63"/>
      <c r="H350" s="63"/>
      <c r="I350" s="1"/>
      <c r="J350" s="1"/>
      <c r="K350" s="1"/>
    </row>
    <row r="351" spans="1:11" s="144" customFormat="1" ht="13.5">
      <c r="A351" s="1"/>
      <c r="B351" s="68"/>
      <c r="C351" s="68"/>
      <c r="D351" s="1"/>
      <c r="E351" s="3"/>
      <c r="G351" s="63"/>
      <c r="H351" s="63"/>
      <c r="I351" s="1"/>
      <c r="J351" s="1"/>
      <c r="K351" s="1"/>
    </row>
    <row r="352" spans="1:11" s="144" customFormat="1" ht="13.5">
      <c r="A352" s="1"/>
      <c r="B352" s="68"/>
      <c r="C352" s="68"/>
      <c r="D352" s="1"/>
      <c r="E352" s="3"/>
      <c r="G352" s="63"/>
      <c r="H352" s="63"/>
      <c r="I352" s="1"/>
      <c r="J352" s="1"/>
      <c r="K352" s="1"/>
    </row>
    <row r="353" spans="1:11" s="144" customFormat="1" ht="13.5">
      <c r="A353" s="1"/>
      <c r="B353" s="68"/>
      <c r="C353" s="68"/>
      <c r="D353" s="1"/>
      <c r="E353" s="3"/>
      <c r="G353" s="63"/>
      <c r="H353" s="63"/>
      <c r="I353" s="1"/>
      <c r="J353" s="1"/>
      <c r="K353" s="1"/>
    </row>
    <row r="354" spans="1:11" s="144" customFormat="1" ht="13.5">
      <c r="A354" s="1"/>
      <c r="B354" s="68"/>
      <c r="C354" s="68"/>
      <c r="D354" s="1"/>
      <c r="E354" s="3"/>
      <c r="G354" s="63"/>
      <c r="H354" s="63"/>
      <c r="I354" s="1"/>
      <c r="J354" s="1"/>
      <c r="K354" s="1"/>
    </row>
    <row r="355" spans="1:11" s="144" customFormat="1" ht="13.5">
      <c r="A355" s="1"/>
      <c r="B355" s="68"/>
      <c r="C355" s="68"/>
      <c r="D355" s="1"/>
      <c r="E355" s="3"/>
      <c r="G355" s="63"/>
      <c r="H355" s="63"/>
      <c r="I355" s="1"/>
      <c r="J355" s="1"/>
      <c r="K355" s="1"/>
    </row>
    <row r="356" spans="1:11" s="144" customFormat="1" ht="13.5">
      <c r="A356" s="1"/>
      <c r="B356" s="68"/>
      <c r="C356" s="68"/>
      <c r="D356" s="1"/>
      <c r="E356" s="3"/>
      <c r="G356" s="63"/>
      <c r="H356" s="63"/>
      <c r="I356" s="1"/>
      <c r="J356" s="1"/>
      <c r="K356" s="1"/>
    </row>
    <row r="357" spans="1:11" s="144" customFormat="1" ht="13.5">
      <c r="A357" s="1"/>
      <c r="B357" s="68"/>
      <c r="C357" s="68"/>
      <c r="D357" s="1"/>
      <c r="E357" s="3"/>
      <c r="G357" s="63"/>
      <c r="H357" s="63"/>
      <c r="I357" s="1"/>
      <c r="J357" s="1"/>
      <c r="K357" s="1"/>
    </row>
    <row r="358" spans="1:11" s="144" customFormat="1" ht="13.5">
      <c r="A358" s="1"/>
      <c r="B358" s="68"/>
      <c r="C358" s="68"/>
      <c r="D358" s="1"/>
      <c r="E358" s="3"/>
      <c r="G358" s="63"/>
      <c r="H358" s="63"/>
      <c r="I358" s="1"/>
      <c r="J358" s="1"/>
      <c r="K358" s="1"/>
    </row>
    <row r="359" spans="1:11" s="144" customFormat="1" ht="13.5">
      <c r="A359" s="1"/>
      <c r="B359" s="68"/>
      <c r="C359" s="68"/>
      <c r="D359" s="1"/>
      <c r="E359" s="3"/>
      <c r="G359" s="63"/>
      <c r="H359" s="63"/>
      <c r="I359" s="1"/>
      <c r="J359" s="1"/>
      <c r="K359" s="1"/>
    </row>
    <row r="360" spans="1:11" s="144" customFormat="1" ht="13.5">
      <c r="A360" s="1"/>
      <c r="B360" s="68"/>
      <c r="C360" s="68"/>
      <c r="D360" s="1"/>
      <c r="E360" s="3"/>
      <c r="G360" s="63"/>
      <c r="H360" s="63"/>
      <c r="I360" s="1"/>
      <c r="J360" s="1"/>
      <c r="K360" s="1"/>
    </row>
    <row r="361" spans="1:11" s="144" customFormat="1" ht="13.5">
      <c r="A361" s="1"/>
      <c r="B361" s="68"/>
      <c r="C361" s="68"/>
      <c r="D361" s="1"/>
      <c r="E361" s="3"/>
      <c r="G361" s="63"/>
      <c r="H361" s="63"/>
      <c r="I361" s="1"/>
      <c r="J361" s="1"/>
      <c r="K361" s="1"/>
    </row>
    <row r="362" spans="1:11" s="144" customFormat="1" ht="13.5">
      <c r="A362" s="1"/>
      <c r="B362" s="68"/>
      <c r="C362" s="68"/>
      <c r="D362" s="1"/>
      <c r="E362" s="3"/>
      <c r="G362" s="63"/>
      <c r="H362" s="63"/>
      <c r="I362" s="1"/>
      <c r="J362" s="1"/>
      <c r="K362" s="1"/>
    </row>
    <row r="363" spans="1:11" s="144" customFormat="1" ht="13.5">
      <c r="A363" s="1"/>
      <c r="B363" s="68"/>
      <c r="C363" s="68"/>
      <c r="D363" s="1"/>
      <c r="E363" s="3"/>
      <c r="G363" s="63"/>
      <c r="H363" s="63"/>
      <c r="I363" s="1"/>
      <c r="J363" s="1"/>
      <c r="K363" s="1"/>
    </row>
    <row r="364" spans="1:11" s="144" customFormat="1" ht="13.5">
      <c r="A364" s="1"/>
      <c r="B364" s="68"/>
      <c r="C364" s="68"/>
      <c r="D364" s="1"/>
      <c r="E364" s="3"/>
      <c r="G364" s="63"/>
      <c r="H364" s="63"/>
      <c r="I364" s="1"/>
      <c r="J364" s="1"/>
      <c r="K364" s="1"/>
    </row>
    <row r="365" spans="1:11" s="144" customFormat="1" ht="13.5">
      <c r="A365" s="1"/>
      <c r="B365" s="68"/>
      <c r="C365" s="68"/>
      <c r="D365" s="1"/>
      <c r="E365" s="3"/>
      <c r="G365" s="63"/>
      <c r="H365" s="63"/>
      <c r="I365" s="1"/>
      <c r="J365" s="1"/>
      <c r="K365" s="1"/>
    </row>
    <row r="366" spans="1:11" s="144" customFormat="1" ht="13.5">
      <c r="A366" s="1"/>
      <c r="B366" s="68"/>
      <c r="C366" s="68"/>
      <c r="D366" s="1"/>
      <c r="E366" s="3"/>
      <c r="G366" s="63"/>
      <c r="H366" s="63"/>
      <c r="I366" s="1"/>
      <c r="J366" s="1"/>
      <c r="K366" s="1"/>
    </row>
    <row r="367" spans="1:11" s="144" customFormat="1" ht="13.5">
      <c r="A367" s="1"/>
      <c r="B367" s="68"/>
      <c r="C367" s="68"/>
      <c r="D367" s="1"/>
      <c r="E367" s="3"/>
      <c r="G367" s="63"/>
      <c r="H367" s="63"/>
      <c r="I367" s="1"/>
      <c r="J367" s="1"/>
      <c r="K367" s="1"/>
    </row>
    <row r="368" spans="1:11" s="144" customFormat="1" ht="13.5">
      <c r="A368" s="1"/>
      <c r="B368" s="68"/>
      <c r="C368" s="68"/>
      <c r="D368" s="1"/>
      <c r="E368" s="3"/>
      <c r="G368" s="63"/>
      <c r="H368" s="63"/>
      <c r="I368" s="1"/>
      <c r="J368" s="1"/>
      <c r="K368" s="1"/>
    </row>
    <row r="369" spans="1:11" s="144" customFormat="1" ht="13.5">
      <c r="A369" s="1"/>
      <c r="B369" s="68"/>
      <c r="C369" s="68"/>
      <c r="D369" s="1"/>
      <c r="E369" s="3"/>
      <c r="G369" s="63"/>
      <c r="H369" s="63"/>
      <c r="I369" s="1"/>
      <c r="J369" s="1"/>
      <c r="K369" s="1"/>
    </row>
    <row r="370" spans="1:11" s="144" customFormat="1" ht="13.5">
      <c r="A370" s="1"/>
      <c r="B370" s="68"/>
      <c r="C370" s="68"/>
      <c r="D370" s="1"/>
      <c r="E370" s="3"/>
      <c r="G370" s="63"/>
      <c r="H370" s="63"/>
      <c r="I370" s="1"/>
      <c r="J370" s="1"/>
      <c r="K370" s="1"/>
    </row>
    <row r="371" spans="1:11" s="144" customFormat="1" ht="13.5">
      <c r="A371" s="1"/>
      <c r="B371" s="68"/>
      <c r="C371" s="68"/>
      <c r="D371" s="1"/>
      <c r="E371" s="3"/>
      <c r="G371" s="63"/>
      <c r="H371" s="63"/>
      <c r="I371" s="1"/>
      <c r="J371" s="1"/>
      <c r="K371" s="1"/>
    </row>
    <row r="372" spans="1:11" s="144" customFormat="1" ht="13.5">
      <c r="A372" s="1"/>
      <c r="B372" s="68"/>
      <c r="C372" s="68"/>
      <c r="D372" s="1"/>
      <c r="E372" s="3"/>
      <c r="G372" s="63"/>
      <c r="H372" s="63"/>
      <c r="I372" s="1"/>
      <c r="J372" s="1"/>
      <c r="K372" s="1"/>
    </row>
    <row r="373" spans="1:11" s="144" customFormat="1" ht="13.5">
      <c r="A373" s="1"/>
      <c r="B373" s="68"/>
      <c r="C373" s="68"/>
      <c r="D373" s="1"/>
      <c r="E373" s="3"/>
      <c r="G373" s="63"/>
      <c r="H373" s="63"/>
      <c r="I373" s="1"/>
      <c r="J373" s="1"/>
      <c r="K373" s="1"/>
    </row>
    <row r="374" spans="1:11" s="144" customFormat="1" ht="13.5">
      <c r="A374" s="1"/>
      <c r="B374" s="68"/>
      <c r="C374" s="68"/>
      <c r="D374" s="1"/>
      <c r="E374" s="3"/>
      <c r="G374" s="63"/>
      <c r="H374" s="63"/>
      <c r="I374" s="1"/>
      <c r="J374" s="1"/>
      <c r="K374" s="1"/>
    </row>
    <row r="375" spans="1:11" s="144" customFormat="1" ht="13.5">
      <c r="A375" s="1"/>
      <c r="B375" s="68"/>
      <c r="C375" s="68"/>
      <c r="D375" s="1"/>
      <c r="E375" s="3"/>
      <c r="G375" s="63"/>
      <c r="H375" s="63"/>
      <c r="I375" s="1"/>
      <c r="J375" s="1"/>
      <c r="K375" s="1"/>
    </row>
    <row r="376" spans="1:11" s="144" customFormat="1" ht="13.5">
      <c r="A376" s="1"/>
      <c r="B376" s="68"/>
      <c r="C376" s="68"/>
      <c r="D376" s="1"/>
      <c r="E376" s="3"/>
      <c r="G376" s="63"/>
      <c r="H376" s="63"/>
      <c r="I376" s="1"/>
      <c r="J376" s="1"/>
      <c r="K376" s="1"/>
    </row>
    <row r="377" spans="1:11" s="144" customFormat="1" ht="13.5">
      <c r="A377" s="1"/>
      <c r="B377" s="68"/>
      <c r="C377" s="68"/>
      <c r="D377" s="1"/>
      <c r="E377" s="3"/>
      <c r="G377" s="63"/>
      <c r="H377" s="63"/>
      <c r="I377" s="1"/>
      <c r="J377" s="1"/>
      <c r="K377" s="1"/>
    </row>
    <row r="378" spans="1:11" s="144" customFormat="1" ht="13.5">
      <c r="A378" s="1"/>
      <c r="B378" s="68"/>
      <c r="C378" s="68"/>
      <c r="D378" s="1"/>
      <c r="E378" s="3"/>
      <c r="G378" s="63"/>
      <c r="H378" s="63"/>
      <c r="I378" s="1"/>
      <c r="J378" s="1"/>
      <c r="K378" s="1"/>
    </row>
    <row r="379" spans="1:11" s="144" customFormat="1" ht="13.5">
      <c r="A379" s="1"/>
      <c r="B379" s="68"/>
      <c r="C379" s="68"/>
      <c r="D379" s="1"/>
      <c r="E379" s="3"/>
      <c r="G379" s="63"/>
      <c r="H379" s="63"/>
      <c r="I379" s="1"/>
      <c r="J379" s="1"/>
      <c r="K379" s="1"/>
    </row>
    <row r="380" spans="1:11" s="144" customFormat="1" ht="13.5">
      <c r="A380" s="1"/>
      <c r="B380" s="68"/>
      <c r="C380" s="68"/>
      <c r="D380" s="1"/>
      <c r="E380" s="3"/>
      <c r="G380" s="63"/>
      <c r="H380" s="63"/>
      <c r="I380" s="1"/>
      <c r="J380" s="1"/>
      <c r="K380" s="1"/>
    </row>
    <row r="381" spans="1:11" s="144" customFormat="1" ht="13.5">
      <c r="A381" s="1"/>
      <c r="B381" s="68"/>
      <c r="C381" s="68"/>
      <c r="D381" s="1"/>
      <c r="E381" s="3"/>
      <c r="G381" s="63"/>
      <c r="H381" s="63"/>
      <c r="I381" s="1"/>
      <c r="J381" s="1"/>
      <c r="K381" s="1"/>
    </row>
    <row r="382" spans="1:11" s="144" customFormat="1" ht="13.5">
      <c r="A382" s="1"/>
      <c r="B382" s="68"/>
      <c r="C382" s="68"/>
      <c r="D382" s="1"/>
      <c r="E382" s="3"/>
      <c r="G382" s="63"/>
      <c r="H382" s="63"/>
      <c r="I382" s="1"/>
      <c r="J382" s="1"/>
      <c r="K382" s="1"/>
    </row>
    <row r="383" spans="1:11" s="144" customFormat="1" ht="13.5">
      <c r="A383" s="1"/>
      <c r="B383" s="68"/>
      <c r="C383" s="68"/>
      <c r="D383" s="1"/>
      <c r="E383" s="3"/>
      <c r="G383" s="63"/>
      <c r="H383" s="63"/>
      <c r="I383" s="1"/>
      <c r="J383" s="1"/>
      <c r="K383" s="1"/>
    </row>
    <row r="384" spans="1:11" s="144" customFormat="1" ht="13.5">
      <c r="A384" s="1"/>
      <c r="B384" s="68"/>
      <c r="C384" s="68"/>
      <c r="D384" s="1"/>
      <c r="E384" s="3"/>
      <c r="G384" s="63"/>
      <c r="H384" s="63"/>
      <c r="I384" s="1"/>
      <c r="J384" s="1"/>
      <c r="K384" s="1"/>
    </row>
    <row r="385" spans="1:11" s="144" customFormat="1" ht="13.5">
      <c r="A385" s="1"/>
      <c r="B385" s="68"/>
      <c r="C385" s="68"/>
      <c r="D385" s="1"/>
      <c r="E385" s="3"/>
      <c r="G385" s="63"/>
      <c r="H385" s="63"/>
      <c r="I385" s="1"/>
      <c r="J385" s="1"/>
      <c r="K385" s="1"/>
    </row>
    <row r="386" spans="1:11" s="144" customFormat="1" ht="13.5">
      <c r="A386" s="1"/>
      <c r="B386" s="68"/>
      <c r="C386" s="68"/>
      <c r="D386" s="1"/>
      <c r="E386" s="3"/>
      <c r="G386" s="63"/>
      <c r="H386" s="63"/>
      <c r="I386" s="1"/>
      <c r="J386" s="1"/>
      <c r="K386" s="1"/>
    </row>
    <row r="387" spans="1:11" s="144" customFormat="1" ht="13.5">
      <c r="A387" s="1"/>
      <c r="B387" s="68"/>
      <c r="C387" s="68"/>
      <c r="D387" s="1"/>
      <c r="E387" s="3"/>
      <c r="G387" s="63"/>
      <c r="H387" s="63"/>
      <c r="I387" s="1"/>
      <c r="J387" s="1"/>
      <c r="K387" s="1"/>
    </row>
    <row r="388" spans="1:11" s="144" customFormat="1" ht="13.5">
      <c r="A388" s="1"/>
      <c r="B388" s="68"/>
      <c r="C388" s="68"/>
      <c r="D388" s="1"/>
      <c r="E388" s="3"/>
      <c r="G388" s="63"/>
      <c r="H388" s="63"/>
      <c r="I388" s="1"/>
      <c r="J388" s="1"/>
      <c r="K388" s="1"/>
    </row>
    <row r="389" spans="1:11" s="144" customFormat="1" ht="13.5">
      <c r="A389" s="1"/>
      <c r="B389" s="68"/>
      <c r="C389" s="68"/>
      <c r="D389" s="1"/>
      <c r="E389" s="3"/>
      <c r="G389" s="63"/>
      <c r="H389" s="63"/>
      <c r="I389" s="1"/>
      <c r="J389" s="1"/>
      <c r="K389" s="1"/>
    </row>
    <row r="390" spans="1:11" s="144" customFormat="1" ht="13.5">
      <c r="A390" s="1"/>
      <c r="B390" s="68"/>
      <c r="C390" s="68"/>
      <c r="D390" s="1"/>
      <c r="E390" s="3"/>
      <c r="G390" s="63"/>
      <c r="H390" s="63"/>
      <c r="I390" s="1"/>
      <c r="J390" s="1"/>
      <c r="K390" s="1"/>
    </row>
    <row r="391" spans="1:11" s="144" customFormat="1" ht="13.5">
      <c r="A391" s="1"/>
      <c r="B391" s="68"/>
      <c r="C391" s="68"/>
      <c r="D391" s="1"/>
      <c r="E391" s="3"/>
      <c r="G391" s="63"/>
      <c r="H391" s="63"/>
      <c r="I391" s="1"/>
      <c r="J391" s="1"/>
      <c r="K391" s="1"/>
    </row>
    <row r="392" spans="1:11" s="144" customFormat="1" ht="13.5">
      <c r="A392" s="1"/>
      <c r="B392" s="68"/>
      <c r="C392" s="68"/>
      <c r="D392" s="1"/>
      <c r="E392" s="3"/>
      <c r="G392" s="63"/>
      <c r="H392" s="63"/>
      <c r="I392" s="1"/>
      <c r="J392" s="1"/>
      <c r="K392" s="1"/>
    </row>
    <row r="393" spans="1:11" s="144" customFormat="1" ht="13.5">
      <c r="A393" s="1"/>
      <c r="B393" s="68"/>
      <c r="C393" s="68"/>
      <c r="D393" s="1"/>
      <c r="E393" s="3"/>
      <c r="G393" s="63"/>
      <c r="H393" s="63"/>
      <c r="I393" s="1"/>
      <c r="J393" s="1"/>
      <c r="K393" s="1"/>
    </row>
    <row r="394" spans="1:11" s="144" customFormat="1" ht="13.5">
      <c r="A394" s="1"/>
      <c r="B394" s="68"/>
      <c r="C394" s="68"/>
      <c r="D394" s="1"/>
      <c r="E394" s="3"/>
      <c r="G394" s="63"/>
      <c r="H394" s="63"/>
      <c r="I394" s="1"/>
      <c r="J394" s="1"/>
      <c r="K394" s="1"/>
    </row>
    <row r="395" spans="1:11" s="144" customFormat="1" ht="13.5">
      <c r="A395" s="1"/>
      <c r="B395" s="68"/>
      <c r="C395" s="68"/>
      <c r="D395" s="1"/>
      <c r="E395" s="3"/>
      <c r="G395" s="63"/>
      <c r="H395" s="63"/>
      <c r="I395" s="1"/>
      <c r="J395" s="1"/>
      <c r="K395" s="1"/>
    </row>
    <row r="396" spans="1:11" s="144" customFormat="1" ht="13.5">
      <c r="A396" s="1"/>
      <c r="B396" s="68"/>
      <c r="C396" s="68"/>
      <c r="D396" s="1"/>
      <c r="E396" s="3"/>
      <c r="G396" s="63"/>
      <c r="H396" s="63"/>
      <c r="I396" s="1"/>
      <c r="J396" s="1"/>
      <c r="K396" s="1"/>
    </row>
    <row r="397" spans="1:11" s="144" customFormat="1" ht="13.5">
      <c r="A397" s="1"/>
      <c r="B397" s="68"/>
      <c r="C397" s="68"/>
      <c r="D397" s="1"/>
      <c r="E397" s="3"/>
      <c r="G397" s="63"/>
      <c r="H397" s="63"/>
      <c r="I397" s="1"/>
      <c r="J397" s="1"/>
      <c r="K397" s="1"/>
    </row>
    <row r="398" spans="1:11" s="144" customFormat="1" ht="13.5">
      <c r="A398" s="1"/>
      <c r="B398" s="68"/>
      <c r="C398" s="68"/>
      <c r="D398" s="1"/>
      <c r="E398" s="3"/>
      <c r="G398" s="63"/>
      <c r="H398" s="63"/>
      <c r="I398" s="1"/>
      <c r="J398" s="1"/>
      <c r="K398" s="1"/>
    </row>
    <row r="399" spans="1:11" s="144" customFormat="1" ht="13.5">
      <c r="A399" s="1"/>
      <c r="B399" s="68"/>
      <c r="C399" s="68"/>
      <c r="D399" s="1"/>
      <c r="E399" s="3"/>
      <c r="G399" s="63"/>
      <c r="H399" s="63"/>
      <c r="I399" s="1"/>
      <c r="J399" s="1"/>
      <c r="K399" s="1"/>
    </row>
    <row r="400" spans="1:11" s="144" customFormat="1" ht="13.5">
      <c r="A400" s="1"/>
      <c r="B400" s="68"/>
      <c r="C400" s="68"/>
      <c r="D400" s="1"/>
      <c r="E400" s="3"/>
      <c r="G400" s="63"/>
      <c r="H400" s="63"/>
      <c r="I400" s="1"/>
      <c r="J400" s="1"/>
      <c r="K400" s="1"/>
    </row>
    <row r="401" spans="1:11" s="144" customFormat="1" ht="13.5">
      <c r="A401" s="1"/>
      <c r="B401" s="68"/>
      <c r="C401" s="68"/>
      <c r="D401" s="1"/>
      <c r="E401" s="3"/>
      <c r="G401" s="63"/>
      <c r="H401" s="63"/>
      <c r="I401" s="1"/>
      <c r="J401" s="1"/>
      <c r="K401" s="1"/>
    </row>
    <row r="402" spans="1:11" s="144" customFormat="1" ht="13.5">
      <c r="A402" s="1"/>
      <c r="B402" s="68"/>
      <c r="C402" s="68"/>
      <c r="D402" s="1"/>
      <c r="E402" s="3"/>
      <c r="G402" s="63"/>
      <c r="H402" s="63"/>
      <c r="I402" s="1"/>
      <c r="J402" s="1"/>
      <c r="K402" s="1"/>
    </row>
    <row r="403" spans="1:11" s="144" customFormat="1" ht="13.5">
      <c r="A403" s="1"/>
      <c r="B403" s="68"/>
      <c r="C403" s="68"/>
      <c r="D403" s="1"/>
      <c r="E403" s="3"/>
      <c r="G403" s="63"/>
      <c r="H403" s="63"/>
      <c r="I403" s="1"/>
      <c r="J403" s="1"/>
      <c r="K403" s="1"/>
    </row>
    <row r="404" spans="1:11" s="144" customFormat="1" ht="13.5">
      <c r="A404" s="1"/>
      <c r="B404" s="68"/>
      <c r="C404" s="68"/>
      <c r="D404" s="1"/>
      <c r="E404" s="3"/>
      <c r="G404" s="63"/>
      <c r="H404" s="63"/>
      <c r="I404" s="1"/>
      <c r="J404" s="1"/>
      <c r="K404" s="1"/>
    </row>
    <row r="405" spans="1:11" s="144" customFormat="1" ht="13.5">
      <c r="A405" s="1"/>
      <c r="B405" s="68"/>
      <c r="C405" s="68"/>
      <c r="D405" s="1"/>
      <c r="E405" s="3"/>
      <c r="G405" s="63"/>
      <c r="H405" s="63"/>
      <c r="I405" s="1"/>
      <c r="J405" s="1"/>
      <c r="K405" s="1"/>
    </row>
    <row r="406" spans="1:11" s="144" customFormat="1" ht="13.5">
      <c r="A406" s="1"/>
      <c r="B406" s="68"/>
      <c r="C406" s="68"/>
      <c r="D406" s="1"/>
      <c r="E406" s="3"/>
      <c r="G406" s="63"/>
      <c r="H406" s="63"/>
      <c r="I406" s="1"/>
      <c r="J406" s="1"/>
      <c r="K406" s="1"/>
    </row>
    <row r="407" spans="1:11" s="144" customFormat="1" ht="13.5">
      <c r="A407" s="1"/>
      <c r="B407" s="68"/>
      <c r="C407" s="68"/>
      <c r="D407" s="1"/>
      <c r="E407" s="3"/>
      <c r="G407" s="63"/>
      <c r="H407" s="63"/>
      <c r="I407" s="1"/>
      <c r="J407" s="1"/>
      <c r="K407" s="1"/>
    </row>
    <row r="408" spans="1:11" s="144" customFormat="1" ht="13.5">
      <c r="A408" s="1"/>
      <c r="B408" s="68"/>
      <c r="C408" s="68"/>
      <c r="D408" s="1"/>
      <c r="E408" s="3"/>
      <c r="G408" s="63"/>
      <c r="H408" s="63"/>
      <c r="I408" s="1"/>
      <c r="J408" s="1"/>
      <c r="K408" s="1"/>
    </row>
    <row r="409" spans="1:11" s="144" customFormat="1" ht="13.5">
      <c r="A409" s="1"/>
      <c r="B409" s="68"/>
      <c r="C409" s="68"/>
      <c r="D409" s="1"/>
      <c r="E409" s="3"/>
      <c r="G409" s="63"/>
      <c r="H409" s="63"/>
      <c r="I409" s="1"/>
      <c r="J409" s="1"/>
      <c r="K409" s="1"/>
    </row>
    <row r="410" spans="1:11" s="144" customFormat="1" ht="13.5">
      <c r="A410" s="1"/>
      <c r="B410" s="68"/>
      <c r="C410" s="68"/>
      <c r="D410" s="1"/>
      <c r="E410" s="3"/>
      <c r="G410" s="63"/>
      <c r="H410" s="63"/>
      <c r="I410" s="1"/>
      <c r="J410" s="1"/>
      <c r="K410" s="1"/>
    </row>
    <row r="411" spans="1:11" s="144" customFormat="1" ht="13.5">
      <c r="A411" s="1"/>
      <c r="B411" s="68"/>
      <c r="C411" s="68"/>
      <c r="D411" s="1"/>
      <c r="E411" s="3"/>
      <c r="G411" s="63"/>
      <c r="H411" s="63"/>
      <c r="I411" s="1"/>
      <c r="J411" s="1"/>
      <c r="K411" s="1"/>
    </row>
    <row r="412" spans="1:11" s="144" customFormat="1" ht="13.5">
      <c r="A412" s="1"/>
      <c r="B412" s="68"/>
      <c r="C412" s="68"/>
      <c r="D412" s="1"/>
      <c r="E412" s="3"/>
      <c r="G412" s="63"/>
      <c r="H412" s="63"/>
      <c r="I412" s="1"/>
      <c r="J412" s="1"/>
      <c r="K412" s="1"/>
    </row>
    <row r="413" spans="1:11" s="144" customFormat="1" ht="13.5">
      <c r="A413" s="1"/>
      <c r="B413" s="68"/>
      <c r="C413" s="68"/>
      <c r="D413" s="1"/>
      <c r="E413" s="3"/>
      <c r="G413" s="63"/>
      <c r="H413" s="63"/>
      <c r="I413" s="1"/>
      <c r="J413" s="1"/>
      <c r="K413" s="1"/>
    </row>
    <row r="414" spans="1:11" s="144" customFormat="1" ht="13.5">
      <c r="A414" s="1"/>
      <c r="B414" s="68"/>
      <c r="C414" s="68"/>
      <c r="D414" s="1"/>
      <c r="E414" s="3"/>
      <c r="G414" s="63"/>
      <c r="H414" s="63"/>
      <c r="I414" s="1"/>
      <c r="J414" s="1"/>
      <c r="K414" s="1"/>
    </row>
    <row r="415" spans="1:11" s="144" customFormat="1" ht="13.5">
      <c r="A415" s="1"/>
      <c r="B415" s="68"/>
      <c r="C415" s="68"/>
      <c r="D415" s="1"/>
      <c r="E415" s="3"/>
      <c r="G415" s="63"/>
      <c r="H415" s="63"/>
      <c r="I415" s="1"/>
      <c r="J415" s="1"/>
      <c r="K415" s="1"/>
    </row>
    <row r="416" spans="1:11" s="144" customFormat="1" ht="13.5">
      <c r="A416" s="1"/>
      <c r="B416" s="68"/>
      <c r="C416" s="68"/>
      <c r="D416" s="1"/>
      <c r="E416" s="3"/>
      <c r="G416" s="63"/>
      <c r="H416" s="63"/>
      <c r="I416" s="1"/>
      <c r="J416" s="1"/>
      <c r="K416" s="1"/>
    </row>
    <row r="417" spans="1:11" s="144" customFormat="1" ht="13.5">
      <c r="A417" s="1"/>
      <c r="B417" s="68"/>
      <c r="C417" s="68"/>
      <c r="D417" s="1"/>
      <c r="E417" s="3"/>
      <c r="G417" s="63"/>
      <c r="H417" s="63"/>
      <c r="I417" s="1"/>
      <c r="J417" s="1"/>
      <c r="K417" s="1"/>
    </row>
    <row r="418" spans="1:11" s="144" customFormat="1" ht="13.5">
      <c r="A418" s="1"/>
      <c r="B418" s="68"/>
      <c r="C418" s="68"/>
      <c r="D418" s="1"/>
      <c r="E418" s="3"/>
      <c r="G418" s="63"/>
      <c r="H418" s="63"/>
      <c r="I418" s="1"/>
      <c r="J418" s="1"/>
      <c r="K418" s="1"/>
    </row>
    <row r="419" spans="1:11" s="144" customFormat="1" ht="13.5">
      <c r="A419" s="1"/>
      <c r="B419" s="68"/>
      <c r="C419" s="68"/>
      <c r="D419" s="1"/>
      <c r="E419" s="3"/>
      <c r="G419" s="63"/>
      <c r="H419" s="63"/>
      <c r="I419" s="1"/>
      <c r="J419" s="1"/>
      <c r="K419" s="1"/>
    </row>
    <row r="420" spans="1:11" s="144" customFormat="1" ht="13.5">
      <c r="A420" s="1"/>
      <c r="B420" s="68"/>
      <c r="C420" s="68"/>
      <c r="D420" s="1"/>
      <c r="E420" s="3"/>
      <c r="G420" s="63"/>
      <c r="H420" s="63"/>
      <c r="I420" s="1"/>
      <c r="J420" s="1"/>
      <c r="K420" s="1"/>
    </row>
    <row r="421" spans="1:11" s="144" customFormat="1" ht="13.5">
      <c r="A421" s="1"/>
      <c r="B421" s="68"/>
      <c r="C421" s="68"/>
      <c r="D421" s="1"/>
      <c r="E421" s="3"/>
      <c r="G421" s="63"/>
      <c r="H421" s="63"/>
      <c r="I421" s="1"/>
      <c r="J421" s="1"/>
      <c r="K421" s="1"/>
    </row>
    <row r="422" spans="1:11" s="144" customFormat="1" ht="13.5">
      <c r="A422" s="1"/>
      <c r="B422" s="68"/>
      <c r="C422" s="68"/>
      <c r="D422" s="1"/>
      <c r="E422" s="3"/>
      <c r="G422" s="63"/>
      <c r="H422" s="63"/>
      <c r="I422" s="1"/>
      <c r="J422" s="1"/>
      <c r="K422" s="1"/>
    </row>
    <row r="423" spans="1:11" s="144" customFormat="1" ht="13.5">
      <c r="A423" s="1"/>
      <c r="B423" s="68"/>
      <c r="C423" s="68"/>
      <c r="D423" s="1"/>
      <c r="E423" s="3"/>
      <c r="G423" s="63"/>
      <c r="H423" s="63"/>
      <c r="I423" s="1"/>
      <c r="J423" s="1"/>
      <c r="K423" s="1"/>
    </row>
    <row r="424" spans="1:11" s="144" customFormat="1" ht="13.5">
      <c r="A424" s="1"/>
      <c r="B424" s="68"/>
      <c r="C424" s="68"/>
      <c r="D424" s="1"/>
      <c r="E424" s="3"/>
      <c r="G424" s="63"/>
      <c r="H424" s="63"/>
      <c r="I424" s="1"/>
      <c r="J424" s="1"/>
      <c r="K424" s="1"/>
    </row>
    <row r="425" spans="1:11" s="144" customFormat="1" ht="13.5">
      <c r="A425" s="1"/>
      <c r="B425" s="68"/>
      <c r="C425" s="68"/>
      <c r="D425" s="1"/>
      <c r="E425" s="3"/>
      <c r="G425" s="63"/>
      <c r="H425" s="63"/>
      <c r="I425" s="1"/>
      <c r="J425" s="1"/>
      <c r="K425" s="1"/>
    </row>
    <row r="426" spans="1:11" s="144" customFormat="1" ht="13.5">
      <c r="A426" s="1"/>
      <c r="B426" s="68"/>
      <c r="C426" s="68"/>
      <c r="D426" s="1"/>
      <c r="E426" s="3"/>
      <c r="G426" s="63"/>
      <c r="H426" s="63"/>
      <c r="I426" s="1"/>
      <c r="J426" s="1"/>
      <c r="K426" s="1"/>
    </row>
    <row r="427" spans="1:11" s="144" customFormat="1" ht="13.5">
      <c r="A427" s="1"/>
      <c r="B427" s="68"/>
      <c r="C427" s="68"/>
      <c r="D427" s="1"/>
      <c r="E427" s="3"/>
      <c r="G427" s="63"/>
      <c r="H427" s="63"/>
      <c r="I427" s="1"/>
      <c r="J427" s="1"/>
      <c r="K427" s="1"/>
    </row>
    <row r="428" spans="1:11" s="144" customFormat="1" ht="13.5">
      <c r="A428" s="1"/>
      <c r="B428" s="68"/>
      <c r="C428" s="68"/>
      <c r="D428" s="1"/>
      <c r="E428" s="3"/>
      <c r="G428" s="63"/>
      <c r="H428" s="63"/>
      <c r="I428" s="1"/>
      <c r="J428" s="1"/>
      <c r="K428" s="1"/>
    </row>
    <row r="429" spans="1:11" s="144" customFormat="1" ht="13.5">
      <c r="A429" s="1"/>
      <c r="B429" s="68"/>
      <c r="C429" s="68"/>
      <c r="D429" s="1"/>
      <c r="E429" s="3"/>
      <c r="G429" s="63"/>
      <c r="H429" s="63"/>
      <c r="I429" s="1"/>
      <c r="J429" s="1"/>
      <c r="K429" s="1"/>
    </row>
    <row r="430" spans="1:11" s="144" customFormat="1" ht="13.5">
      <c r="A430" s="1"/>
      <c r="B430" s="68"/>
      <c r="C430" s="68"/>
      <c r="D430" s="1"/>
      <c r="E430" s="3"/>
      <c r="G430" s="63"/>
      <c r="H430" s="63"/>
      <c r="I430" s="1"/>
      <c r="J430" s="1"/>
      <c r="K430" s="1"/>
    </row>
    <row r="431" spans="1:11" s="144" customFormat="1" ht="13.5">
      <c r="A431" s="1"/>
      <c r="B431" s="68"/>
      <c r="C431" s="68"/>
      <c r="D431" s="1"/>
      <c r="E431" s="3"/>
      <c r="G431" s="63"/>
      <c r="H431" s="63"/>
      <c r="I431" s="1"/>
      <c r="J431" s="1"/>
      <c r="K431" s="1"/>
    </row>
    <row r="432" spans="1:11" s="144" customFormat="1" ht="13.5">
      <c r="A432" s="1"/>
      <c r="B432" s="68"/>
      <c r="C432" s="68"/>
      <c r="D432" s="1"/>
      <c r="E432" s="3"/>
      <c r="G432" s="63"/>
      <c r="H432" s="63"/>
      <c r="I432" s="1"/>
      <c r="J432" s="1"/>
      <c r="K432" s="1"/>
    </row>
    <row r="433" spans="1:11" s="144" customFormat="1" ht="13.5">
      <c r="A433" s="1"/>
      <c r="B433" s="68"/>
      <c r="C433" s="68"/>
      <c r="D433" s="1"/>
      <c r="E433" s="3"/>
      <c r="G433" s="63"/>
      <c r="H433" s="63"/>
      <c r="I433" s="1"/>
      <c r="J433" s="1"/>
      <c r="K433" s="1"/>
    </row>
    <row r="434" spans="1:11" s="144" customFormat="1" ht="13.5">
      <c r="A434" s="1"/>
      <c r="B434" s="68"/>
      <c r="C434" s="68"/>
      <c r="D434" s="1"/>
      <c r="E434" s="3"/>
      <c r="G434" s="63"/>
      <c r="H434" s="63"/>
      <c r="I434" s="1"/>
      <c r="J434" s="1"/>
      <c r="K434" s="1"/>
    </row>
    <row r="435" spans="1:11" s="144" customFormat="1" ht="13.5">
      <c r="A435" s="1"/>
      <c r="B435" s="68"/>
      <c r="C435" s="68"/>
      <c r="D435" s="1"/>
      <c r="E435" s="3"/>
      <c r="G435" s="63"/>
      <c r="H435" s="63"/>
      <c r="I435" s="1"/>
      <c r="J435" s="1"/>
      <c r="K435" s="1"/>
    </row>
    <row r="436" spans="1:11" s="144" customFormat="1" ht="13.5">
      <c r="A436" s="1"/>
      <c r="B436" s="68"/>
      <c r="C436" s="68"/>
      <c r="D436" s="1"/>
      <c r="E436" s="3"/>
      <c r="G436" s="63"/>
      <c r="H436" s="63"/>
      <c r="I436" s="1"/>
      <c r="J436" s="1"/>
      <c r="K436" s="1"/>
    </row>
    <row r="437" spans="1:11" s="144" customFormat="1" ht="13.5">
      <c r="A437" s="1"/>
      <c r="B437" s="68"/>
      <c r="C437" s="68"/>
      <c r="D437" s="1"/>
      <c r="E437" s="3"/>
      <c r="G437" s="63"/>
      <c r="H437" s="63"/>
      <c r="I437" s="1"/>
      <c r="J437" s="1"/>
      <c r="K437" s="1"/>
    </row>
    <row r="438" spans="1:11" s="144" customFormat="1" ht="13.5">
      <c r="A438" s="1"/>
      <c r="B438" s="68"/>
      <c r="C438" s="68"/>
      <c r="D438" s="1"/>
      <c r="E438" s="3"/>
      <c r="G438" s="63"/>
      <c r="H438" s="63"/>
      <c r="I438" s="1"/>
      <c r="J438" s="1"/>
      <c r="K438" s="1"/>
    </row>
    <row r="439" spans="1:11" s="144" customFormat="1" ht="13.5">
      <c r="A439" s="1"/>
      <c r="B439" s="68"/>
      <c r="C439" s="68"/>
      <c r="D439" s="1"/>
      <c r="E439" s="3"/>
      <c r="G439" s="63"/>
      <c r="H439" s="63"/>
      <c r="I439" s="1"/>
      <c r="J439" s="1"/>
      <c r="K439" s="1"/>
    </row>
    <row r="440" spans="1:11" s="144" customFormat="1" ht="13.5">
      <c r="A440" s="1"/>
      <c r="B440" s="68"/>
      <c r="C440" s="68"/>
      <c r="D440" s="1"/>
      <c r="E440" s="3"/>
      <c r="G440" s="63"/>
      <c r="H440" s="63"/>
      <c r="I440" s="1"/>
      <c r="J440" s="1"/>
      <c r="K440" s="1"/>
    </row>
    <row r="441" spans="1:11" s="144" customFormat="1" ht="13.5">
      <c r="A441" s="1"/>
      <c r="B441" s="68"/>
      <c r="C441" s="68"/>
      <c r="D441" s="1"/>
      <c r="E441" s="3"/>
      <c r="G441" s="63"/>
      <c r="H441" s="63"/>
      <c r="I441" s="1"/>
      <c r="J441" s="1"/>
      <c r="K441" s="1"/>
    </row>
    <row r="442" spans="1:11" s="144" customFormat="1" ht="13.5">
      <c r="A442" s="1"/>
      <c r="B442" s="68"/>
      <c r="C442" s="68"/>
      <c r="D442" s="1"/>
      <c r="E442" s="3"/>
      <c r="G442" s="63"/>
      <c r="H442" s="63"/>
      <c r="I442" s="1"/>
      <c r="J442" s="1"/>
      <c r="K442" s="1"/>
    </row>
    <row r="443" spans="1:11" s="144" customFormat="1" ht="13.5">
      <c r="A443" s="1"/>
      <c r="B443" s="68"/>
      <c r="C443" s="68"/>
      <c r="D443" s="1"/>
      <c r="E443" s="3"/>
      <c r="G443" s="63"/>
      <c r="H443" s="63"/>
      <c r="I443" s="1"/>
      <c r="J443" s="1"/>
      <c r="K443" s="1"/>
    </row>
    <row r="444" spans="1:11" s="144" customFormat="1" ht="13.5">
      <c r="A444" s="1"/>
      <c r="B444" s="68"/>
      <c r="C444" s="68"/>
      <c r="D444" s="1"/>
      <c r="E444" s="3"/>
      <c r="G444" s="63"/>
      <c r="H444" s="63"/>
      <c r="I444" s="1"/>
      <c r="J444" s="1"/>
      <c r="K444" s="1"/>
    </row>
    <row r="445" spans="1:11" s="144" customFormat="1" ht="13.5">
      <c r="A445" s="1"/>
      <c r="B445" s="68"/>
      <c r="C445" s="68"/>
      <c r="D445" s="1"/>
      <c r="E445" s="3"/>
      <c r="G445" s="63"/>
      <c r="H445" s="63"/>
      <c r="I445" s="1"/>
      <c r="J445" s="1"/>
      <c r="K445" s="1"/>
    </row>
    <row r="446" spans="1:11" s="144" customFormat="1" ht="13.5">
      <c r="A446" s="1"/>
      <c r="B446" s="68"/>
      <c r="C446" s="68"/>
      <c r="D446" s="1"/>
      <c r="E446" s="3"/>
      <c r="G446" s="63"/>
      <c r="H446" s="63"/>
      <c r="I446" s="1"/>
      <c r="J446" s="1"/>
      <c r="K446" s="1"/>
    </row>
    <row r="447" spans="1:11" s="144" customFormat="1" ht="13.5">
      <c r="A447" s="1"/>
      <c r="B447" s="68"/>
      <c r="C447" s="68"/>
      <c r="D447" s="1"/>
      <c r="E447" s="3"/>
      <c r="G447" s="63"/>
      <c r="H447" s="63"/>
      <c r="I447" s="1"/>
      <c r="J447" s="1"/>
      <c r="K447" s="1"/>
    </row>
    <row r="448" spans="1:11" s="144" customFormat="1" ht="13.5">
      <c r="A448" s="1"/>
      <c r="B448" s="68"/>
      <c r="C448" s="68"/>
      <c r="D448" s="1"/>
      <c r="E448" s="3"/>
      <c r="G448" s="63"/>
      <c r="H448" s="63"/>
      <c r="I448" s="1"/>
      <c r="J448" s="1"/>
      <c r="K448" s="1"/>
    </row>
    <row r="449" spans="1:11" s="144" customFormat="1" ht="13.5">
      <c r="A449" s="1"/>
      <c r="B449" s="68"/>
      <c r="C449" s="68"/>
      <c r="D449" s="1"/>
      <c r="E449" s="3"/>
      <c r="G449" s="63"/>
      <c r="H449" s="63"/>
      <c r="I449" s="1"/>
      <c r="J449" s="1"/>
      <c r="K449" s="1"/>
    </row>
    <row r="450" spans="1:11" s="144" customFormat="1" ht="13.5">
      <c r="A450" s="1"/>
      <c r="B450" s="68"/>
      <c r="C450" s="68"/>
      <c r="D450" s="1"/>
      <c r="E450" s="3"/>
      <c r="G450" s="63"/>
      <c r="H450" s="63"/>
      <c r="I450" s="1"/>
      <c r="J450" s="1"/>
      <c r="K450" s="1"/>
    </row>
    <row r="451" spans="1:11" s="144" customFormat="1" ht="13.5">
      <c r="A451" s="1"/>
      <c r="B451" s="68"/>
      <c r="C451" s="68"/>
      <c r="D451" s="1"/>
      <c r="E451" s="3"/>
      <c r="G451" s="63"/>
      <c r="H451" s="63"/>
      <c r="I451" s="1"/>
      <c r="J451" s="1"/>
      <c r="K451" s="1"/>
    </row>
    <row r="452" spans="1:11" s="144" customFormat="1" ht="13.5">
      <c r="A452" s="1"/>
      <c r="B452" s="68"/>
      <c r="C452" s="68"/>
      <c r="D452" s="1"/>
      <c r="E452" s="3"/>
      <c r="G452" s="63"/>
      <c r="H452" s="63"/>
      <c r="I452" s="1"/>
      <c r="J452" s="1"/>
      <c r="K452" s="1"/>
    </row>
    <row r="453" spans="1:11" s="144" customFormat="1" ht="13.5">
      <c r="A453" s="1"/>
      <c r="B453" s="68"/>
      <c r="C453" s="68"/>
      <c r="D453" s="1"/>
      <c r="E453" s="3"/>
      <c r="G453" s="63"/>
      <c r="H453" s="63"/>
      <c r="I453" s="1"/>
      <c r="J453" s="1"/>
      <c r="K453" s="1"/>
    </row>
    <row r="454" spans="1:11" s="144" customFormat="1" ht="13.5">
      <c r="A454" s="1"/>
      <c r="B454" s="68"/>
      <c r="C454" s="68"/>
      <c r="D454" s="1"/>
      <c r="E454" s="3"/>
      <c r="G454" s="63"/>
      <c r="H454" s="63"/>
      <c r="I454" s="1"/>
      <c r="J454" s="1"/>
      <c r="K454" s="1"/>
    </row>
    <row r="455" spans="1:11" s="144" customFormat="1" ht="13.5">
      <c r="A455" s="1"/>
      <c r="B455" s="68"/>
      <c r="C455" s="68"/>
      <c r="D455" s="1"/>
      <c r="E455" s="3"/>
      <c r="G455" s="63"/>
      <c r="H455" s="63"/>
      <c r="I455" s="1"/>
      <c r="J455" s="1"/>
      <c r="K455" s="1"/>
    </row>
    <row r="456" spans="1:11" s="144" customFormat="1" ht="13.5">
      <c r="A456" s="1"/>
      <c r="B456" s="68"/>
      <c r="C456" s="68"/>
      <c r="D456" s="1"/>
      <c r="E456" s="3"/>
      <c r="G456" s="63"/>
      <c r="H456" s="63"/>
      <c r="I456" s="1"/>
      <c r="J456" s="1"/>
      <c r="K456" s="1"/>
    </row>
    <row r="457" spans="1:11" s="144" customFormat="1" ht="13.5">
      <c r="A457" s="1"/>
      <c r="B457" s="68"/>
      <c r="C457" s="68"/>
      <c r="D457" s="1"/>
      <c r="E457" s="3"/>
      <c r="G457" s="63"/>
      <c r="H457" s="63"/>
      <c r="I457" s="1"/>
      <c r="J457" s="1"/>
      <c r="K457" s="1"/>
    </row>
    <row r="458" spans="1:11" s="144" customFormat="1" ht="13.5">
      <c r="A458" s="1"/>
      <c r="B458" s="68"/>
      <c r="C458" s="68"/>
      <c r="D458" s="1"/>
      <c r="E458" s="3"/>
      <c r="G458" s="63"/>
      <c r="H458" s="63"/>
      <c r="I458" s="1"/>
      <c r="J458" s="1"/>
      <c r="K458" s="1"/>
    </row>
    <row r="459" spans="1:11" s="144" customFormat="1" ht="13.5">
      <c r="A459" s="1"/>
      <c r="B459" s="68"/>
      <c r="C459" s="68"/>
      <c r="D459" s="1"/>
      <c r="E459" s="3"/>
      <c r="G459" s="63"/>
      <c r="H459" s="63"/>
      <c r="I459" s="1"/>
      <c r="J459" s="1"/>
      <c r="K459" s="1"/>
    </row>
    <row r="460" spans="1:11" s="144" customFormat="1" ht="13.5">
      <c r="A460" s="1"/>
      <c r="B460" s="68"/>
      <c r="C460" s="68"/>
      <c r="D460" s="1"/>
      <c r="E460" s="3"/>
      <c r="G460" s="63"/>
      <c r="H460" s="63"/>
      <c r="I460" s="1"/>
      <c r="J460" s="1"/>
      <c r="K460" s="1"/>
    </row>
    <row r="461" spans="1:11" s="144" customFormat="1" ht="13.5">
      <c r="A461" s="1"/>
      <c r="B461" s="68"/>
      <c r="C461" s="68"/>
      <c r="D461" s="1"/>
      <c r="E461" s="3"/>
      <c r="G461" s="63"/>
      <c r="H461" s="63"/>
      <c r="I461" s="1"/>
      <c r="J461" s="1"/>
      <c r="K461" s="1"/>
    </row>
    <row r="462" spans="1:11" s="144" customFormat="1" ht="13.5">
      <c r="A462" s="1"/>
      <c r="B462" s="68"/>
      <c r="C462" s="68"/>
      <c r="D462" s="1"/>
      <c r="E462" s="3"/>
      <c r="G462" s="63"/>
      <c r="H462" s="63"/>
      <c r="I462" s="1"/>
      <c r="J462" s="1"/>
      <c r="K462" s="1"/>
    </row>
    <row r="463" spans="1:11" s="144" customFormat="1" ht="13.5">
      <c r="A463" s="1"/>
      <c r="B463" s="68"/>
      <c r="C463" s="68"/>
      <c r="D463" s="1"/>
      <c r="E463" s="3"/>
      <c r="G463" s="63"/>
      <c r="H463" s="63"/>
      <c r="I463" s="1"/>
      <c r="J463" s="1"/>
      <c r="K463" s="1"/>
    </row>
    <row r="464" spans="1:11" s="144" customFormat="1" ht="13.5">
      <c r="A464" s="1"/>
      <c r="B464" s="68"/>
      <c r="C464" s="68"/>
      <c r="D464" s="1"/>
      <c r="E464" s="3"/>
      <c r="G464" s="63"/>
      <c r="H464" s="63"/>
      <c r="I464" s="1"/>
      <c r="J464" s="1"/>
      <c r="K464" s="1"/>
    </row>
    <row r="465" spans="1:11" s="144" customFormat="1" ht="13.5">
      <c r="A465" s="1"/>
      <c r="B465" s="68"/>
      <c r="C465" s="68"/>
      <c r="D465" s="1"/>
      <c r="E465" s="3"/>
      <c r="G465" s="63"/>
      <c r="H465" s="63"/>
      <c r="I465" s="1"/>
      <c r="J465" s="1"/>
      <c r="K465" s="1"/>
    </row>
    <row r="466" spans="1:11" s="144" customFormat="1" ht="13.5">
      <c r="A466" s="1"/>
      <c r="B466" s="68"/>
      <c r="C466" s="68"/>
      <c r="D466" s="1"/>
      <c r="E466" s="3"/>
      <c r="G466" s="63"/>
      <c r="H466" s="63"/>
      <c r="I466" s="1"/>
      <c r="J466" s="1"/>
      <c r="K466" s="1"/>
    </row>
    <row r="467" spans="1:11" s="144" customFormat="1" ht="13.5">
      <c r="A467" s="1"/>
      <c r="B467" s="68"/>
      <c r="C467" s="68"/>
      <c r="D467" s="1"/>
      <c r="E467" s="3"/>
      <c r="G467" s="63"/>
      <c r="H467" s="63"/>
      <c r="I467" s="1"/>
      <c r="J467" s="1"/>
      <c r="K467" s="1"/>
    </row>
    <row r="468" spans="1:11" s="144" customFormat="1" ht="13.5">
      <c r="A468" s="1"/>
      <c r="B468" s="68"/>
      <c r="C468" s="68"/>
      <c r="D468" s="1"/>
      <c r="E468" s="3"/>
      <c r="G468" s="63"/>
      <c r="H468" s="63"/>
      <c r="I468" s="1"/>
      <c r="J468" s="1"/>
      <c r="K468" s="1"/>
    </row>
    <row r="469" spans="1:11" s="144" customFormat="1" ht="13.5">
      <c r="A469" s="1"/>
      <c r="B469" s="68"/>
      <c r="C469" s="68"/>
      <c r="D469" s="1"/>
      <c r="E469" s="3"/>
      <c r="G469" s="63"/>
      <c r="H469" s="63"/>
      <c r="I469" s="1"/>
      <c r="J469" s="1"/>
      <c r="K469" s="1"/>
    </row>
    <row r="470" spans="1:11" s="144" customFormat="1" ht="13.5">
      <c r="A470" s="1"/>
      <c r="B470" s="68"/>
      <c r="C470" s="68"/>
      <c r="D470" s="1"/>
      <c r="E470" s="3"/>
      <c r="G470" s="63"/>
      <c r="H470" s="63"/>
      <c r="I470" s="1"/>
      <c r="J470" s="1"/>
      <c r="K470" s="1"/>
    </row>
    <row r="471" spans="1:11" s="144" customFormat="1" ht="13.5">
      <c r="A471" s="1"/>
      <c r="B471" s="68"/>
      <c r="C471" s="68"/>
      <c r="D471" s="1"/>
      <c r="E471" s="3"/>
      <c r="G471" s="63"/>
      <c r="H471" s="63"/>
      <c r="I471" s="1"/>
      <c r="J471" s="1"/>
      <c r="K471" s="1"/>
    </row>
    <row r="472" spans="1:11" s="144" customFormat="1" ht="13.5">
      <c r="A472" s="1"/>
      <c r="B472" s="68"/>
      <c r="C472" s="68"/>
      <c r="D472" s="1"/>
      <c r="E472" s="3"/>
      <c r="G472" s="63"/>
      <c r="H472" s="63"/>
      <c r="I472" s="1"/>
      <c r="J472" s="1"/>
      <c r="K472" s="1"/>
    </row>
    <row r="473" spans="1:11" s="144" customFormat="1" ht="13.5">
      <c r="A473" s="1"/>
      <c r="B473" s="68"/>
      <c r="C473" s="68"/>
      <c r="D473" s="1"/>
      <c r="E473" s="3"/>
      <c r="G473" s="63"/>
      <c r="H473" s="63"/>
      <c r="I473" s="1"/>
      <c r="J473" s="1"/>
      <c r="K473" s="1"/>
    </row>
    <row r="474" spans="1:11" s="144" customFormat="1" ht="13.5">
      <c r="A474" s="1"/>
      <c r="B474" s="68"/>
      <c r="C474" s="68"/>
      <c r="D474" s="1"/>
      <c r="E474" s="3"/>
      <c r="G474" s="63"/>
      <c r="H474" s="63"/>
      <c r="I474" s="1"/>
      <c r="J474" s="1"/>
      <c r="K474" s="1"/>
    </row>
    <row r="475" spans="1:11" s="144" customFormat="1" ht="13.5">
      <c r="A475" s="1"/>
      <c r="B475" s="68"/>
      <c r="C475" s="68"/>
      <c r="D475" s="1"/>
      <c r="E475" s="3"/>
      <c r="G475" s="63"/>
      <c r="H475" s="63"/>
      <c r="I475" s="1"/>
      <c r="J475" s="1"/>
      <c r="K475" s="1"/>
    </row>
    <row r="476" spans="1:11" s="144" customFormat="1" ht="13.5">
      <c r="A476" s="1"/>
      <c r="B476" s="68"/>
      <c r="C476" s="68"/>
      <c r="D476" s="1"/>
      <c r="E476" s="3"/>
      <c r="G476" s="63"/>
      <c r="H476" s="63"/>
      <c r="I476" s="1"/>
      <c r="J476" s="1"/>
      <c r="K476" s="1"/>
    </row>
    <row r="477" spans="1:11" s="144" customFormat="1" ht="13.5">
      <c r="A477" s="1"/>
      <c r="B477" s="68"/>
      <c r="C477" s="68"/>
      <c r="D477" s="1"/>
      <c r="E477" s="3"/>
      <c r="G477" s="63"/>
      <c r="H477" s="63"/>
      <c r="I477" s="1"/>
      <c r="J477" s="1"/>
      <c r="K477" s="1"/>
    </row>
    <row r="478" spans="1:11" s="144" customFormat="1" ht="13.5">
      <c r="A478" s="1"/>
      <c r="B478" s="68"/>
      <c r="C478" s="68"/>
      <c r="D478" s="1"/>
      <c r="E478" s="3"/>
      <c r="G478" s="63"/>
      <c r="H478" s="63"/>
      <c r="I478" s="1"/>
      <c r="J478" s="1"/>
      <c r="K478" s="1"/>
    </row>
    <row r="479" spans="1:11" s="144" customFormat="1" ht="13.5">
      <c r="A479" s="1"/>
      <c r="B479" s="68"/>
      <c r="C479" s="68"/>
      <c r="D479" s="1"/>
      <c r="E479" s="3"/>
      <c r="G479" s="63"/>
      <c r="H479" s="63"/>
      <c r="I479" s="1"/>
      <c r="J479" s="1"/>
      <c r="K479" s="1"/>
    </row>
    <row r="480" spans="1:11" s="144" customFormat="1" ht="13.5">
      <c r="A480" s="1"/>
      <c r="B480" s="68"/>
      <c r="C480" s="68"/>
      <c r="D480" s="1"/>
      <c r="E480" s="3"/>
      <c r="G480" s="63"/>
      <c r="H480" s="63"/>
      <c r="I480" s="1"/>
      <c r="J480" s="1"/>
      <c r="K480" s="1"/>
    </row>
    <row r="481" spans="1:11" s="144" customFormat="1" ht="13.5">
      <c r="A481" s="1"/>
      <c r="B481" s="68"/>
      <c r="C481" s="68"/>
      <c r="D481" s="1"/>
      <c r="E481" s="3"/>
      <c r="G481" s="63"/>
      <c r="H481" s="63"/>
      <c r="I481" s="1"/>
      <c r="J481" s="1"/>
      <c r="K481" s="1"/>
    </row>
    <row r="482" spans="1:11" s="144" customFormat="1" ht="13.5">
      <c r="A482" s="1"/>
      <c r="B482" s="68"/>
      <c r="C482" s="68"/>
      <c r="D482" s="1"/>
      <c r="E482" s="3"/>
      <c r="G482" s="63"/>
      <c r="H482" s="63"/>
      <c r="I482" s="1"/>
      <c r="J482" s="1"/>
      <c r="K482" s="1"/>
    </row>
    <row r="483" spans="1:11" s="144" customFormat="1" ht="13.5">
      <c r="A483" s="1"/>
      <c r="B483" s="68"/>
      <c r="C483" s="68"/>
      <c r="D483" s="1"/>
      <c r="E483" s="3"/>
      <c r="G483" s="63"/>
      <c r="H483" s="63"/>
      <c r="I483" s="1"/>
      <c r="J483" s="1"/>
      <c r="K483" s="1"/>
    </row>
    <row r="484" spans="1:11" s="144" customFormat="1" ht="13.5">
      <c r="A484" s="1"/>
      <c r="B484" s="68"/>
      <c r="C484" s="68"/>
      <c r="D484" s="1"/>
      <c r="E484" s="3"/>
      <c r="G484" s="63"/>
      <c r="H484" s="63"/>
      <c r="I484" s="1"/>
      <c r="J484" s="1"/>
      <c r="K484" s="1"/>
    </row>
    <row r="485" spans="1:11" s="144" customFormat="1" ht="13.5">
      <c r="A485" s="1"/>
      <c r="B485" s="68"/>
      <c r="C485" s="68"/>
      <c r="D485" s="1"/>
      <c r="E485" s="3"/>
      <c r="G485" s="63"/>
      <c r="H485" s="63"/>
      <c r="I485" s="1"/>
      <c r="J485" s="1"/>
      <c r="K485" s="1"/>
    </row>
    <row r="486" spans="1:11" s="144" customFormat="1" ht="13.5">
      <c r="A486" s="1"/>
      <c r="B486" s="68"/>
      <c r="C486" s="68"/>
      <c r="D486" s="1"/>
      <c r="E486" s="3"/>
      <c r="G486" s="63"/>
      <c r="H486" s="63"/>
      <c r="I486" s="1"/>
      <c r="J486" s="1"/>
      <c r="K486" s="1"/>
    </row>
    <row r="487" spans="1:11" s="144" customFormat="1" ht="13.5">
      <c r="A487" s="1"/>
      <c r="B487" s="68"/>
      <c r="C487" s="68"/>
      <c r="D487" s="1"/>
      <c r="E487" s="3"/>
      <c r="G487" s="63"/>
      <c r="H487" s="63"/>
      <c r="I487" s="1"/>
      <c r="J487" s="1"/>
      <c r="K487" s="1"/>
    </row>
    <row r="488" spans="1:11" s="144" customFormat="1" ht="13.5">
      <c r="A488" s="1"/>
      <c r="B488" s="68"/>
      <c r="C488" s="68"/>
      <c r="D488" s="1"/>
      <c r="E488" s="3"/>
      <c r="G488" s="63"/>
      <c r="H488" s="63"/>
      <c r="I488" s="1"/>
      <c r="J488" s="1"/>
      <c r="K488" s="1"/>
    </row>
    <row r="489" spans="1:11" s="144" customFormat="1" ht="13.5">
      <c r="A489" s="1"/>
      <c r="B489" s="68"/>
      <c r="C489" s="68"/>
      <c r="D489" s="1"/>
      <c r="E489" s="3"/>
      <c r="G489" s="63"/>
      <c r="H489" s="63"/>
      <c r="I489" s="1"/>
      <c r="J489" s="1"/>
      <c r="K489" s="1"/>
    </row>
    <row r="490" spans="1:11" s="144" customFormat="1" ht="13.5">
      <c r="A490" s="1"/>
      <c r="B490" s="68"/>
      <c r="C490" s="68"/>
      <c r="D490" s="1"/>
      <c r="E490" s="3"/>
      <c r="G490" s="63"/>
      <c r="H490" s="63"/>
      <c r="I490" s="1"/>
      <c r="J490" s="1"/>
      <c r="K490" s="1"/>
    </row>
    <row r="491" spans="1:11" s="144" customFormat="1" ht="13.5">
      <c r="A491" s="1"/>
      <c r="B491" s="68"/>
      <c r="C491" s="68"/>
      <c r="D491" s="1"/>
      <c r="E491" s="3"/>
      <c r="G491" s="63"/>
      <c r="H491" s="63"/>
      <c r="I491" s="1"/>
      <c r="J491" s="1"/>
      <c r="K491" s="1"/>
    </row>
    <row r="492" spans="1:11" s="144" customFormat="1" ht="13.5">
      <c r="A492" s="1"/>
      <c r="B492" s="68"/>
      <c r="C492" s="68"/>
      <c r="D492" s="1"/>
      <c r="E492" s="3"/>
      <c r="G492" s="63"/>
      <c r="H492" s="63"/>
      <c r="I492" s="1"/>
      <c r="J492" s="1"/>
      <c r="K492" s="1"/>
    </row>
    <row r="493" spans="1:11" s="144" customFormat="1" ht="13.5">
      <c r="A493" s="1"/>
      <c r="B493" s="68"/>
      <c r="C493" s="68"/>
      <c r="D493" s="1"/>
      <c r="E493" s="3"/>
      <c r="G493" s="63"/>
      <c r="H493" s="63"/>
      <c r="I493" s="1"/>
      <c r="J493" s="1"/>
      <c r="K493" s="1"/>
    </row>
    <row r="494" spans="1:11" s="144" customFormat="1" ht="13.5">
      <c r="A494" s="1"/>
      <c r="B494" s="68"/>
      <c r="C494" s="68"/>
      <c r="D494" s="1"/>
      <c r="E494" s="3"/>
      <c r="G494" s="63"/>
      <c r="H494" s="63"/>
      <c r="I494" s="1"/>
      <c r="J494" s="1"/>
      <c r="K494" s="1"/>
    </row>
    <row r="495" spans="1:11" s="144" customFormat="1" ht="13.5">
      <c r="A495" s="1"/>
      <c r="B495" s="68"/>
      <c r="C495" s="68"/>
      <c r="D495" s="1"/>
      <c r="E495" s="3"/>
      <c r="G495" s="63"/>
      <c r="H495" s="63"/>
      <c r="I495" s="1"/>
      <c r="J495" s="1"/>
      <c r="K495" s="1"/>
    </row>
    <row r="496" spans="1:11" s="144" customFormat="1" ht="13.5">
      <c r="A496" s="1"/>
      <c r="B496" s="68"/>
      <c r="C496" s="68"/>
      <c r="D496" s="1"/>
      <c r="E496" s="3"/>
      <c r="G496" s="63"/>
      <c r="H496" s="63"/>
      <c r="I496" s="1"/>
      <c r="J496" s="1"/>
      <c r="K496" s="1"/>
    </row>
    <row r="497" spans="1:11" s="144" customFormat="1" ht="13.5">
      <c r="A497" s="1"/>
      <c r="B497" s="68"/>
      <c r="C497" s="68"/>
      <c r="D497" s="1"/>
      <c r="E497" s="3"/>
      <c r="G497" s="63"/>
      <c r="H497" s="63"/>
      <c r="I497" s="1"/>
      <c r="J497" s="1"/>
      <c r="K497" s="1"/>
    </row>
    <row r="498" spans="1:11" s="144" customFormat="1" ht="13.5">
      <c r="A498" s="1"/>
      <c r="B498" s="68"/>
      <c r="C498" s="68"/>
      <c r="D498" s="1"/>
      <c r="E498" s="3"/>
      <c r="G498" s="63"/>
      <c r="H498" s="63"/>
      <c r="I498" s="1"/>
      <c r="J498" s="1"/>
      <c r="K498" s="1"/>
    </row>
    <row r="499" spans="1:11" s="144" customFormat="1" ht="13.5">
      <c r="A499" s="1"/>
      <c r="B499" s="68"/>
      <c r="C499" s="68"/>
      <c r="D499" s="1"/>
      <c r="E499" s="3"/>
      <c r="G499" s="63"/>
      <c r="H499" s="63"/>
      <c r="I499" s="1"/>
      <c r="J499" s="1"/>
      <c r="K499" s="1"/>
    </row>
    <row r="500" spans="1:11" s="144" customFormat="1" ht="13.5">
      <c r="A500" s="1"/>
      <c r="B500" s="68"/>
      <c r="C500" s="68"/>
      <c r="D500" s="1"/>
      <c r="E500" s="3"/>
      <c r="G500" s="63"/>
      <c r="H500" s="63"/>
      <c r="I500" s="1"/>
      <c r="J500" s="1"/>
      <c r="K500" s="1"/>
    </row>
    <row r="501" spans="1:11" s="144" customFormat="1" ht="13.5">
      <c r="A501" s="1"/>
      <c r="B501" s="68"/>
      <c r="C501" s="68"/>
      <c r="D501" s="1"/>
      <c r="E501" s="3"/>
      <c r="G501" s="63"/>
      <c r="H501" s="63"/>
      <c r="I501" s="1"/>
      <c r="J501" s="1"/>
      <c r="K501" s="1"/>
    </row>
    <row r="502" spans="1:11" s="144" customFormat="1" ht="13.5">
      <c r="A502" s="1"/>
      <c r="B502" s="68"/>
      <c r="C502" s="68"/>
      <c r="D502" s="1"/>
      <c r="E502" s="3"/>
      <c r="G502" s="63"/>
      <c r="H502" s="63"/>
      <c r="I502" s="1"/>
      <c r="J502" s="1"/>
      <c r="K502" s="1"/>
    </row>
    <row r="503" spans="1:11" s="144" customFormat="1" ht="13.5">
      <c r="A503" s="1"/>
      <c r="B503" s="68"/>
      <c r="C503" s="68"/>
      <c r="D503" s="1"/>
      <c r="E503" s="3"/>
      <c r="G503" s="63"/>
      <c r="H503" s="63"/>
      <c r="I503" s="1"/>
      <c r="J503" s="1"/>
      <c r="K503" s="1"/>
    </row>
    <row r="504" spans="1:11" s="144" customFormat="1" ht="13.5">
      <c r="A504" s="1"/>
      <c r="B504" s="68"/>
      <c r="C504" s="68"/>
      <c r="D504" s="1"/>
      <c r="E504" s="3"/>
      <c r="G504" s="63"/>
      <c r="H504" s="63"/>
      <c r="I504" s="1"/>
      <c r="J504" s="1"/>
      <c r="K504" s="1"/>
    </row>
    <row r="505" spans="1:11" s="144" customFormat="1" ht="13.5">
      <c r="A505" s="1"/>
      <c r="B505" s="68"/>
      <c r="C505" s="68"/>
      <c r="D505" s="1"/>
      <c r="E505" s="3"/>
      <c r="G505" s="63"/>
      <c r="H505" s="63"/>
      <c r="I505" s="1"/>
      <c r="J505" s="1"/>
      <c r="K505" s="1"/>
    </row>
    <row r="506" spans="1:11" s="144" customFormat="1" ht="13.5">
      <c r="A506" s="1"/>
      <c r="B506" s="68"/>
      <c r="C506" s="68"/>
      <c r="D506" s="1"/>
      <c r="E506" s="3"/>
      <c r="G506" s="63"/>
      <c r="H506" s="63"/>
      <c r="I506" s="1"/>
      <c r="J506" s="1"/>
      <c r="K506" s="1"/>
    </row>
    <row r="507" spans="1:11" s="144" customFormat="1" ht="13.5">
      <c r="A507" s="1"/>
      <c r="B507" s="68"/>
      <c r="C507" s="68"/>
      <c r="D507" s="1"/>
      <c r="E507" s="3"/>
      <c r="G507" s="63"/>
      <c r="H507" s="63"/>
      <c r="I507" s="1"/>
      <c r="J507" s="1"/>
      <c r="K507" s="1"/>
    </row>
    <row r="508" spans="1:11" s="144" customFormat="1" ht="13.5">
      <c r="A508" s="1"/>
      <c r="B508" s="68"/>
      <c r="C508" s="68"/>
      <c r="D508" s="1"/>
      <c r="E508" s="3"/>
      <c r="G508" s="63"/>
      <c r="H508" s="63"/>
      <c r="I508" s="1"/>
      <c r="J508" s="1"/>
      <c r="K508" s="1"/>
    </row>
    <row r="509" spans="1:11" s="144" customFormat="1" ht="13.5">
      <c r="A509" s="1"/>
      <c r="B509" s="68"/>
      <c r="C509" s="68"/>
      <c r="D509" s="1"/>
      <c r="E509" s="3"/>
      <c r="G509" s="63"/>
      <c r="H509" s="63"/>
      <c r="I509" s="1"/>
      <c r="J509" s="1"/>
      <c r="K509" s="1"/>
    </row>
    <row r="510" spans="1:11" s="144" customFormat="1" ht="13.5">
      <c r="A510" s="1"/>
      <c r="B510" s="68"/>
      <c r="C510" s="68"/>
      <c r="D510" s="1"/>
      <c r="E510" s="3"/>
      <c r="G510" s="63"/>
      <c r="H510" s="63"/>
      <c r="I510" s="1"/>
      <c r="J510" s="1"/>
      <c r="K510" s="1"/>
    </row>
    <row r="511" spans="1:11" s="144" customFormat="1" ht="13.5">
      <c r="A511" s="1"/>
      <c r="B511" s="68"/>
      <c r="C511" s="68"/>
      <c r="D511" s="1"/>
      <c r="E511" s="3"/>
      <c r="G511" s="63"/>
      <c r="H511" s="63"/>
      <c r="I511" s="1"/>
      <c r="J511" s="1"/>
      <c r="K511" s="1"/>
    </row>
    <row r="512" spans="1:11" s="144" customFormat="1" ht="13.5">
      <c r="A512" s="1"/>
      <c r="B512" s="68"/>
      <c r="C512" s="68"/>
      <c r="D512" s="1"/>
      <c r="E512" s="3"/>
      <c r="G512" s="63"/>
      <c r="H512" s="63"/>
      <c r="I512" s="1"/>
      <c r="J512" s="1"/>
      <c r="K512" s="1"/>
    </row>
    <row r="513" spans="1:11" s="144" customFormat="1" ht="13.5">
      <c r="A513" s="1"/>
      <c r="B513" s="68"/>
      <c r="C513" s="68"/>
      <c r="D513" s="1"/>
      <c r="E513" s="3"/>
      <c r="G513" s="63"/>
      <c r="H513" s="63"/>
      <c r="I513" s="1"/>
      <c r="J513" s="1"/>
      <c r="K513" s="1"/>
    </row>
    <row r="514" spans="1:11" s="144" customFormat="1" ht="13.5">
      <c r="A514" s="1"/>
      <c r="B514" s="68"/>
      <c r="C514" s="68"/>
      <c r="D514" s="1"/>
      <c r="E514" s="3"/>
      <c r="G514" s="63"/>
      <c r="H514" s="63"/>
      <c r="I514" s="1"/>
      <c r="J514" s="1"/>
      <c r="K514" s="1"/>
    </row>
    <row r="515" spans="1:11" s="144" customFormat="1" ht="13.5">
      <c r="A515" s="1"/>
      <c r="B515" s="68"/>
      <c r="C515" s="68"/>
      <c r="D515" s="1"/>
      <c r="E515" s="3"/>
      <c r="G515" s="63"/>
      <c r="H515" s="63"/>
      <c r="I515" s="1"/>
      <c r="J515" s="1"/>
      <c r="K515" s="1"/>
    </row>
    <row r="516" spans="1:11" s="144" customFormat="1" ht="13.5">
      <c r="A516" s="1"/>
      <c r="B516" s="68"/>
      <c r="C516" s="68"/>
      <c r="D516" s="1"/>
      <c r="E516" s="3"/>
      <c r="G516" s="63"/>
      <c r="H516" s="63"/>
      <c r="I516" s="1"/>
      <c r="J516" s="1"/>
      <c r="K516" s="1"/>
    </row>
    <row r="517" spans="1:11" s="144" customFormat="1" ht="13.5">
      <c r="A517" s="1"/>
      <c r="B517" s="68"/>
      <c r="C517" s="68"/>
      <c r="D517" s="1"/>
      <c r="E517" s="3"/>
      <c r="G517" s="63"/>
      <c r="H517" s="63"/>
      <c r="I517" s="1"/>
      <c r="J517" s="1"/>
      <c r="K517" s="1"/>
    </row>
    <row r="518" spans="1:11" s="144" customFormat="1" ht="13.5">
      <c r="A518" s="1"/>
      <c r="B518" s="68"/>
      <c r="C518" s="68"/>
      <c r="D518" s="1"/>
      <c r="E518" s="3"/>
      <c r="G518" s="63"/>
      <c r="H518" s="63"/>
      <c r="I518" s="1"/>
      <c r="J518" s="1"/>
      <c r="K518" s="1"/>
    </row>
    <row r="519" spans="1:11" s="144" customFormat="1" ht="13.5">
      <c r="A519" s="1"/>
      <c r="B519" s="68"/>
      <c r="C519" s="68"/>
      <c r="D519" s="1"/>
      <c r="E519" s="3"/>
      <c r="G519" s="63"/>
      <c r="H519" s="63"/>
      <c r="I519" s="1"/>
      <c r="J519" s="1"/>
      <c r="K519" s="1"/>
    </row>
    <row r="520" spans="1:11" s="144" customFormat="1" ht="13.5">
      <c r="A520" s="1"/>
      <c r="B520" s="68"/>
      <c r="C520" s="68"/>
      <c r="D520" s="1"/>
      <c r="E520" s="3"/>
      <c r="G520" s="63"/>
      <c r="H520" s="63"/>
      <c r="I520" s="1"/>
      <c r="J520" s="1"/>
      <c r="K520" s="1"/>
    </row>
    <row r="521" spans="1:11" s="144" customFormat="1" ht="13.5">
      <c r="A521" s="1"/>
      <c r="B521" s="68"/>
      <c r="C521" s="68"/>
      <c r="D521" s="1"/>
      <c r="E521" s="3"/>
      <c r="G521" s="63"/>
      <c r="H521" s="63"/>
      <c r="I521" s="1"/>
      <c r="J521" s="1"/>
      <c r="K521" s="1"/>
    </row>
    <row r="522" spans="1:11" s="144" customFormat="1" ht="13.5">
      <c r="A522" s="1"/>
      <c r="B522" s="68"/>
      <c r="C522" s="68"/>
      <c r="D522" s="1"/>
      <c r="E522" s="3"/>
      <c r="G522" s="63"/>
      <c r="H522" s="63"/>
      <c r="I522" s="1"/>
      <c r="J522" s="1"/>
      <c r="K522" s="1"/>
    </row>
    <row r="523" spans="1:11" s="144" customFormat="1" ht="13.5">
      <c r="A523" s="1"/>
      <c r="B523" s="68"/>
      <c r="C523" s="68"/>
      <c r="D523" s="1"/>
      <c r="E523" s="3"/>
      <c r="G523" s="63"/>
      <c r="H523" s="63"/>
      <c r="I523" s="1"/>
      <c r="J523" s="1"/>
      <c r="K523" s="1"/>
    </row>
    <row r="524" spans="1:11" s="144" customFormat="1" ht="13.5">
      <c r="A524" s="1"/>
      <c r="B524" s="68"/>
      <c r="C524" s="68"/>
      <c r="D524" s="1"/>
      <c r="E524" s="3"/>
      <c r="G524" s="63"/>
      <c r="H524" s="63"/>
      <c r="I524" s="1"/>
      <c r="J524" s="1"/>
      <c r="K524" s="1"/>
    </row>
    <row r="525" spans="1:11" s="144" customFormat="1" ht="13.5">
      <c r="A525" s="1"/>
      <c r="B525" s="68"/>
      <c r="C525" s="68"/>
      <c r="D525" s="1"/>
      <c r="E525" s="3"/>
      <c r="G525" s="63"/>
      <c r="H525" s="63"/>
      <c r="I525" s="1"/>
      <c r="J525" s="1"/>
      <c r="K525" s="1"/>
    </row>
    <row r="526" spans="1:11" s="144" customFormat="1" ht="13.5">
      <c r="A526" s="1"/>
      <c r="B526" s="68"/>
      <c r="C526" s="68"/>
      <c r="D526" s="1"/>
      <c r="E526" s="3"/>
      <c r="G526" s="63"/>
      <c r="H526" s="63"/>
      <c r="I526" s="1"/>
      <c r="J526" s="1"/>
      <c r="K526" s="1"/>
    </row>
    <row r="527" spans="1:11" s="144" customFormat="1" ht="13.5">
      <c r="A527" s="1"/>
      <c r="B527" s="68"/>
      <c r="C527" s="68"/>
      <c r="D527" s="1"/>
      <c r="E527" s="3"/>
      <c r="G527" s="63"/>
      <c r="H527" s="63"/>
      <c r="I527" s="1"/>
      <c r="J527" s="1"/>
      <c r="K527" s="1"/>
    </row>
    <row r="528" spans="1:11" s="144" customFormat="1" ht="13.5">
      <c r="A528" s="1"/>
      <c r="B528" s="68"/>
      <c r="C528" s="68"/>
      <c r="D528" s="1"/>
      <c r="E528" s="3"/>
      <c r="G528" s="63"/>
      <c r="H528" s="63"/>
      <c r="I528" s="1"/>
      <c r="J528" s="1"/>
      <c r="K528" s="1"/>
    </row>
    <row r="529" spans="1:11" s="144" customFormat="1" ht="13.5">
      <c r="A529" s="1"/>
      <c r="B529" s="68"/>
      <c r="C529" s="68"/>
      <c r="D529" s="1"/>
      <c r="E529" s="3"/>
      <c r="G529" s="63"/>
      <c r="H529" s="63"/>
      <c r="I529" s="1"/>
      <c r="J529" s="1"/>
      <c r="K529" s="1"/>
    </row>
    <row r="530" spans="1:11" s="144" customFormat="1" ht="13.5">
      <c r="A530" s="1"/>
      <c r="B530" s="68"/>
      <c r="C530" s="68"/>
      <c r="D530" s="1"/>
      <c r="E530" s="3"/>
      <c r="G530" s="63"/>
      <c r="H530" s="63"/>
      <c r="I530" s="1"/>
      <c r="J530" s="1"/>
      <c r="K530" s="1"/>
    </row>
    <row r="531" spans="1:11" s="144" customFormat="1" ht="13.5">
      <c r="A531" s="1"/>
      <c r="B531" s="68"/>
      <c r="C531" s="68"/>
      <c r="D531" s="1"/>
      <c r="E531" s="3"/>
      <c r="G531" s="63"/>
      <c r="H531" s="63"/>
      <c r="I531" s="1"/>
      <c r="J531" s="1"/>
      <c r="K531" s="1"/>
    </row>
    <row r="532" spans="1:11" s="144" customFormat="1" ht="13.5">
      <c r="A532" s="1"/>
      <c r="B532" s="68"/>
      <c r="C532" s="68"/>
      <c r="D532" s="1"/>
      <c r="E532" s="3"/>
      <c r="G532" s="63"/>
      <c r="H532" s="63"/>
      <c r="I532" s="1"/>
      <c r="J532" s="1"/>
      <c r="K532" s="1"/>
    </row>
    <row r="533" spans="1:11" s="144" customFormat="1" ht="13.5">
      <c r="A533" s="1"/>
      <c r="B533" s="68"/>
      <c r="C533" s="68"/>
      <c r="D533" s="1"/>
      <c r="E533" s="3"/>
      <c r="G533" s="63"/>
      <c r="H533" s="63"/>
      <c r="I533" s="1"/>
      <c r="J533" s="1"/>
      <c r="K533" s="1"/>
    </row>
    <row r="534" spans="1:11" s="144" customFormat="1" ht="13.5">
      <c r="A534" s="1"/>
      <c r="B534" s="68"/>
      <c r="C534" s="68"/>
      <c r="D534" s="1"/>
      <c r="E534" s="3"/>
      <c r="G534" s="63"/>
      <c r="H534" s="63"/>
      <c r="I534" s="1"/>
      <c r="J534" s="1"/>
      <c r="K534" s="1"/>
    </row>
    <row r="535" spans="1:11" s="144" customFormat="1" ht="13.5">
      <c r="A535" s="1"/>
      <c r="B535" s="68"/>
      <c r="C535" s="68"/>
      <c r="D535" s="1"/>
      <c r="E535" s="3"/>
      <c r="G535" s="63"/>
      <c r="H535" s="63"/>
      <c r="I535" s="1"/>
      <c r="J535" s="1"/>
      <c r="K535" s="1"/>
    </row>
    <row r="536" spans="1:11" s="144" customFormat="1" ht="13.5">
      <c r="A536" s="1"/>
      <c r="B536" s="68"/>
      <c r="C536" s="68"/>
      <c r="D536" s="1"/>
      <c r="E536" s="3"/>
      <c r="G536" s="63"/>
      <c r="H536" s="63"/>
      <c r="I536" s="1"/>
      <c r="J536" s="1"/>
      <c r="K536" s="1"/>
    </row>
    <row r="537" spans="1:11" s="144" customFormat="1" ht="13.5">
      <c r="A537" s="1"/>
      <c r="B537" s="68"/>
      <c r="C537" s="68"/>
      <c r="D537" s="1"/>
      <c r="E537" s="3"/>
      <c r="G537" s="63"/>
      <c r="H537" s="63"/>
      <c r="I537" s="1"/>
      <c r="J537" s="1"/>
      <c r="K537" s="1"/>
    </row>
    <row r="538" spans="1:11" s="144" customFormat="1" ht="13.5">
      <c r="A538" s="1"/>
      <c r="B538" s="68"/>
      <c r="C538" s="68"/>
      <c r="D538" s="1"/>
      <c r="E538" s="3"/>
      <c r="G538" s="63"/>
      <c r="H538" s="63"/>
      <c r="I538" s="1"/>
      <c r="J538" s="1"/>
      <c r="K538" s="1"/>
    </row>
    <row r="539" spans="1:11" s="144" customFormat="1" ht="13.5">
      <c r="A539" s="1"/>
      <c r="B539" s="68"/>
      <c r="C539" s="68"/>
      <c r="D539" s="1"/>
      <c r="E539" s="3"/>
      <c r="G539" s="63"/>
      <c r="H539" s="63"/>
      <c r="I539" s="1"/>
      <c r="J539" s="1"/>
      <c r="K539" s="1"/>
    </row>
    <row r="540" spans="1:11" s="144" customFormat="1" ht="13.5">
      <c r="A540" s="1"/>
      <c r="B540" s="68"/>
      <c r="C540" s="68"/>
      <c r="D540" s="1"/>
      <c r="E540" s="3"/>
      <c r="G540" s="63"/>
      <c r="H540" s="63"/>
      <c r="I540" s="1"/>
      <c r="J540" s="1"/>
      <c r="K540" s="1"/>
    </row>
    <row r="541" spans="1:11" s="144" customFormat="1" ht="13.5">
      <c r="A541" s="1"/>
      <c r="B541" s="68"/>
      <c r="C541" s="68"/>
      <c r="D541" s="1"/>
      <c r="E541" s="3"/>
      <c r="G541" s="63"/>
      <c r="H541" s="63"/>
      <c r="I541" s="1"/>
      <c r="J541" s="1"/>
      <c r="K541" s="1"/>
    </row>
    <row r="542" spans="1:11" s="144" customFormat="1" ht="13.5">
      <c r="A542" s="1"/>
      <c r="B542" s="68"/>
      <c r="C542" s="68"/>
      <c r="D542" s="1"/>
      <c r="E542" s="3"/>
      <c r="G542" s="63"/>
      <c r="H542" s="63"/>
      <c r="I542" s="1"/>
      <c r="J542" s="1"/>
      <c r="K542" s="1"/>
    </row>
    <row r="543" spans="1:11" s="144" customFormat="1" ht="13.5">
      <c r="A543" s="1"/>
      <c r="B543" s="68"/>
      <c r="C543" s="68"/>
      <c r="D543" s="1"/>
      <c r="E543" s="3"/>
      <c r="G543" s="63"/>
      <c r="H543" s="63"/>
      <c r="I543" s="1"/>
      <c r="J543" s="1"/>
      <c r="K543" s="1"/>
    </row>
    <row r="544" spans="1:11" s="144" customFormat="1" ht="13.5">
      <c r="A544" s="1"/>
      <c r="B544" s="68"/>
      <c r="C544" s="68"/>
      <c r="D544" s="1"/>
      <c r="E544" s="3"/>
      <c r="G544" s="63"/>
      <c r="H544" s="63"/>
      <c r="I544" s="1"/>
      <c r="J544" s="1"/>
      <c r="K544" s="1"/>
    </row>
    <row r="545" spans="1:11" s="144" customFormat="1" ht="13.5">
      <c r="A545" s="1"/>
      <c r="B545" s="68"/>
      <c r="C545" s="68"/>
      <c r="D545" s="1"/>
      <c r="E545" s="3"/>
      <c r="G545" s="63"/>
      <c r="H545" s="63"/>
      <c r="I545" s="1"/>
      <c r="J545" s="1"/>
      <c r="K545" s="1"/>
    </row>
    <row r="546" spans="1:11" s="144" customFormat="1" ht="13.5">
      <c r="A546" s="1"/>
      <c r="B546" s="68"/>
      <c r="C546" s="68"/>
      <c r="D546" s="1"/>
      <c r="E546" s="3"/>
      <c r="G546" s="63"/>
      <c r="H546" s="63"/>
      <c r="I546" s="1"/>
      <c r="J546" s="1"/>
      <c r="K546" s="1"/>
    </row>
    <row r="547" spans="1:11" s="144" customFormat="1" ht="13.5">
      <c r="A547" s="1"/>
      <c r="B547" s="68"/>
      <c r="C547" s="68"/>
      <c r="D547" s="1"/>
      <c r="E547" s="3"/>
      <c r="G547" s="63"/>
      <c r="H547" s="63"/>
      <c r="I547" s="1"/>
      <c r="J547" s="1"/>
      <c r="K547" s="1"/>
    </row>
    <row r="548" spans="1:11" s="144" customFormat="1" ht="13.5">
      <c r="A548" s="1"/>
      <c r="B548" s="68"/>
      <c r="C548" s="68"/>
      <c r="D548" s="1"/>
      <c r="E548" s="3"/>
      <c r="G548" s="63"/>
      <c r="H548" s="63"/>
      <c r="I548" s="1"/>
      <c r="J548" s="1"/>
      <c r="K548" s="1"/>
    </row>
    <row r="549" spans="1:11" s="144" customFormat="1" ht="13.5">
      <c r="A549" s="1"/>
      <c r="B549" s="68"/>
      <c r="C549" s="68"/>
      <c r="D549" s="1"/>
      <c r="E549" s="3"/>
      <c r="G549" s="63"/>
      <c r="H549" s="63"/>
      <c r="I549" s="1"/>
      <c r="J549" s="1"/>
      <c r="K549" s="1"/>
    </row>
    <row r="550" spans="1:11" s="144" customFormat="1" ht="13.5">
      <c r="A550" s="1"/>
      <c r="B550" s="68"/>
      <c r="C550" s="68"/>
      <c r="D550" s="1"/>
      <c r="E550" s="3"/>
      <c r="G550" s="63"/>
      <c r="H550" s="63"/>
      <c r="I550" s="1"/>
      <c r="J550" s="1"/>
      <c r="K550" s="1"/>
    </row>
    <row r="551" spans="1:11" s="144" customFormat="1" ht="13.5">
      <c r="A551" s="1"/>
      <c r="B551" s="68"/>
      <c r="C551" s="68"/>
      <c r="D551" s="1"/>
      <c r="E551" s="3"/>
      <c r="G551" s="63"/>
      <c r="H551" s="63"/>
      <c r="I551" s="1"/>
      <c r="J551" s="1"/>
      <c r="K551" s="1"/>
    </row>
    <row r="552" spans="1:11" s="144" customFormat="1" ht="13.5">
      <c r="A552" s="1"/>
      <c r="B552" s="68"/>
      <c r="C552" s="68"/>
      <c r="D552" s="1"/>
      <c r="E552" s="3"/>
      <c r="G552" s="63"/>
      <c r="H552" s="63"/>
      <c r="I552" s="1"/>
      <c r="J552" s="1"/>
      <c r="K552" s="1"/>
    </row>
    <row r="553" spans="1:11" s="144" customFormat="1" ht="13.5">
      <c r="A553" s="1"/>
      <c r="B553" s="68"/>
      <c r="C553" s="68"/>
      <c r="D553" s="1"/>
      <c r="E553" s="3"/>
      <c r="G553" s="63"/>
      <c r="H553" s="63"/>
      <c r="I553" s="1"/>
      <c r="J553" s="1"/>
      <c r="K553" s="1"/>
    </row>
    <row r="554" spans="1:11" s="144" customFormat="1" ht="13.5">
      <c r="A554" s="1"/>
      <c r="B554" s="68"/>
      <c r="C554" s="68"/>
      <c r="D554" s="1"/>
      <c r="E554" s="3"/>
      <c r="G554" s="63"/>
      <c r="H554" s="63"/>
      <c r="I554" s="1"/>
      <c r="J554" s="1"/>
      <c r="K554" s="1"/>
    </row>
    <row r="555" spans="1:11" s="144" customFormat="1" ht="13.5">
      <c r="A555" s="1"/>
      <c r="B555" s="68"/>
      <c r="C555" s="68"/>
      <c r="D555" s="1"/>
      <c r="E555" s="3"/>
      <c r="G555" s="63"/>
      <c r="H555" s="63"/>
      <c r="I555" s="1"/>
      <c r="J555" s="1"/>
      <c r="K555" s="1"/>
    </row>
    <row r="556" spans="1:11" s="144" customFormat="1" ht="13.5">
      <c r="A556" s="1"/>
      <c r="B556" s="68"/>
      <c r="C556" s="68"/>
      <c r="D556" s="1"/>
      <c r="E556" s="3"/>
      <c r="G556" s="63"/>
      <c r="H556" s="63"/>
      <c r="I556" s="1"/>
      <c r="J556" s="1"/>
      <c r="K556" s="1"/>
    </row>
    <row r="557" spans="1:11" s="144" customFormat="1" ht="13.5">
      <c r="A557" s="1"/>
      <c r="B557" s="68"/>
      <c r="C557" s="68"/>
      <c r="D557" s="1"/>
      <c r="E557" s="3"/>
      <c r="G557" s="63"/>
      <c r="H557" s="63"/>
      <c r="I557" s="1"/>
      <c r="J557" s="1"/>
      <c r="K557" s="1"/>
    </row>
    <row r="558" spans="1:11" s="144" customFormat="1" ht="13.5">
      <c r="A558" s="1"/>
      <c r="B558" s="68"/>
      <c r="C558" s="68"/>
      <c r="D558" s="1"/>
      <c r="E558" s="3"/>
      <c r="G558" s="63"/>
      <c r="H558" s="63"/>
      <c r="I558" s="1"/>
      <c r="J558" s="1"/>
      <c r="K558" s="1"/>
    </row>
    <row r="559" spans="1:11" s="144" customFormat="1" ht="13.5">
      <c r="A559" s="1"/>
      <c r="B559" s="68"/>
      <c r="C559" s="68"/>
      <c r="D559" s="1"/>
      <c r="E559" s="3"/>
      <c r="G559" s="63"/>
      <c r="H559" s="63"/>
      <c r="I559" s="1"/>
      <c r="J559" s="1"/>
      <c r="K559" s="1"/>
    </row>
    <row r="560" spans="1:11" s="144" customFormat="1" ht="13.5">
      <c r="A560" s="1"/>
      <c r="B560" s="68"/>
      <c r="C560" s="68"/>
      <c r="D560" s="1"/>
      <c r="E560" s="3"/>
      <c r="G560" s="63"/>
      <c r="H560" s="63"/>
      <c r="I560" s="1"/>
      <c r="J560" s="1"/>
      <c r="K560" s="1"/>
    </row>
    <row r="561" spans="1:11" s="144" customFormat="1" ht="13.5">
      <c r="A561" s="1"/>
      <c r="B561" s="68"/>
      <c r="C561" s="68"/>
      <c r="D561" s="1"/>
      <c r="E561" s="3"/>
      <c r="G561" s="63"/>
      <c r="H561" s="63"/>
      <c r="I561" s="1"/>
      <c r="J561" s="1"/>
      <c r="K561" s="1"/>
    </row>
    <row r="562" spans="1:11" s="144" customFormat="1" ht="13.5">
      <c r="A562" s="1"/>
      <c r="B562" s="68"/>
      <c r="C562" s="68"/>
      <c r="D562" s="1"/>
      <c r="E562" s="3"/>
      <c r="G562" s="63"/>
      <c r="H562" s="63"/>
      <c r="I562" s="1"/>
      <c r="J562" s="1"/>
      <c r="K562" s="1"/>
    </row>
    <row r="563" spans="1:11" s="144" customFormat="1" ht="13.5">
      <c r="A563" s="1"/>
      <c r="B563" s="68"/>
      <c r="C563" s="68"/>
      <c r="D563" s="1"/>
      <c r="E563" s="3"/>
      <c r="G563" s="63"/>
      <c r="H563" s="63"/>
      <c r="I563" s="1"/>
      <c r="J563" s="1"/>
      <c r="K563" s="1"/>
    </row>
    <row r="564" spans="1:11" s="144" customFormat="1" ht="13.5">
      <c r="A564" s="1"/>
      <c r="B564" s="68"/>
      <c r="C564" s="68"/>
      <c r="D564" s="1"/>
      <c r="E564" s="3"/>
      <c r="G564" s="63"/>
      <c r="H564" s="63"/>
      <c r="I564" s="1"/>
      <c r="J564" s="1"/>
      <c r="K564" s="1"/>
    </row>
    <row r="565" spans="1:11" s="144" customFormat="1" ht="13.5">
      <c r="A565" s="1"/>
      <c r="B565" s="68"/>
      <c r="C565" s="68"/>
      <c r="D565" s="1"/>
      <c r="E565" s="3"/>
      <c r="G565" s="63"/>
      <c r="H565" s="63"/>
      <c r="I565" s="1"/>
      <c r="J565" s="1"/>
      <c r="K565" s="1"/>
    </row>
    <row r="566" spans="1:11" s="144" customFormat="1" ht="13.5">
      <c r="A566" s="1"/>
      <c r="B566" s="68"/>
      <c r="C566" s="68"/>
      <c r="D566" s="1"/>
      <c r="E566" s="3"/>
      <c r="G566" s="63"/>
      <c r="H566" s="63"/>
      <c r="I566" s="1"/>
      <c r="J566" s="1"/>
      <c r="K566" s="1"/>
    </row>
    <row r="567" spans="1:11" s="144" customFormat="1" ht="13.5">
      <c r="A567" s="1"/>
      <c r="B567" s="68"/>
      <c r="C567" s="68"/>
      <c r="D567" s="1"/>
      <c r="E567" s="3"/>
      <c r="G567" s="63"/>
      <c r="H567" s="63"/>
      <c r="I567" s="1"/>
      <c r="J567" s="1"/>
      <c r="K567" s="1"/>
    </row>
    <row r="568" spans="1:11" s="144" customFormat="1" ht="13.5">
      <c r="A568" s="1"/>
      <c r="B568" s="68"/>
      <c r="C568" s="68"/>
      <c r="D568" s="1"/>
      <c r="E568" s="3"/>
      <c r="G568" s="63"/>
      <c r="H568" s="63"/>
      <c r="I568" s="1"/>
      <c r="J568" s="1"/>
      <c r="K568" s="1"/>
    </row>
    <row r="569" spans="1:11" s="144" customFormat="1" ht="13.5">
      <c r="A569" s="1"/>
      <c r="B569" s="68"/>
      <c r="C569" s="68"/>
      <c r="D569" s="1"/>
      <c r="E569" s="3"/>
      <c r="G569" s="63"/>
      <c r="H569" s="63"/>
      <c r="I569" s="1"/>
      <c r="J569" s="1"/>
      <c r="K569" s="1"/>
    </row>
    <row r="570" spans="1:11" s="144" customFormat="1" ht="13.5">
      <c r="A570" s="1"/>
      <c r="B570" s="68"/>
      <c r="C570" s="68"/>
      <c r="D570" s="1"/>
      <c r="E570" s="3"/>
      <c r="G570" s="63"/>
      <c r="H570" s="63"/>
      <c r="I570" s="1"/>
      <c r="J570" s="1"/>
      <c r="K570" s="1"/>
    </row>
    <row r="571" spans="1:11" s="144" customFormat="1" ht="13.5">
      <c r="A571" s="1"/>
      <c r="B571" s="68"/>
      <c r="C571" s="68"/>
      <c r="D571" s="1"/>
      <c r="E571" s="3"/>
      <c r="G571" s="63"/>
      <c r="H571" s="63"/>
      <c r="I571" s="1"/>
      <c r="J571" s="1"/>
      <c r="K571" s="1"/>
    </row>
    <row r="572" spans="1:11" s="144" customFormat="1" ht="13.5">
      <c r="A572" s="1"/>
      <c r="B572" s="68"/>
      <c r="C572" s="68"/>
      <c r="D572" s="1"/>
      <c r="E572" s="3"/>
      <c r="G572" s="63"/>
      <c r="H572" s="63"/>
      <c r="I572" s="1"/>
      <c r="J572" s="1"/>
      <c r="K572" s="1"/>
    </row>
    <row r="573" spans="1:11" s="144" customFormat="1" ht="13.5">
      <c r="A573" s="1"/>
      <c r="B573" s="68"/>
      <c r="C573" s="68"/>
      <c r="D573" s="1"/>
      <c r="E573" s="3"/>
      <c r="G573" s="63"/>
      <c r="H573" s="63"/>
      <c r="I573" s="1"/>
      <c r="J573" s="1"/>
      <c r="K573" s="1"/>
    </row>
    <row r="574" spans="1:11" s="144" customFormat="1" ht="13.5">
      <c r="A574" s="1"/>
      <c r="B574" s="68"/>
      <c r="C574" s="68"/>
      <c r="D574" s="1"/>
      <c r="E574" s="3"/>
      <c r="G574" s="63"/>
      <c r="H574" s="63"/>
      <c r="I574" s="1"/>
      <c r="J574" s="1"/>
      <c r="K574" s="1"/>
    </row>
    <row r="575" spans="1:11" s="144" customFormat="1" ht="13.5">
      <c r="A575" s="1"/>
      <c r="B575" s="68"/>
      <c r="C575" s="68"/>
      <c r="D575" s="1"/>
      <c r="E575" s="3"/>
      <c r="G575" s="63"/>
      <c r="H575" s="63"/>
      <c r="I575" s="1"/>
      <c r="J575" s="1"/>
      <c r="K575" s="1"/>
    </row>
    <row r="576" spans="1:11" s="144" customFormat="1" ht="13.5">
      <c r="A576" s="1"/>
      <c r="B576" s="68"/>
      <c r="C576" s="68"/>
      <c r="D576" s="1"/>
      <c r="E576" s="3"/>
      <c r="G576" s="63"/>
      <c r="H576" s="63"/>
      <c r="I576" s="1"/>
      <c r="J576" s="1"/>
      <c r="K576" s="1"/>
    </row>
    <row r="577" spans="1:11" s="144" customFormat="1" ht="13.5">
      <c r="A577" s="1"/>
      <c r="B577" s="68"/>
      <c r="C577" s="68"/>
      <c r="D577" s="1"/>
      <c r="E577" s="3"/>
      <c r="G577" s="63"/>
      <c r="H577" s="63"/>
      <c r="I577" s="1"/>
      <c r="J577" s="1"/>
      <c r="K577" s="1"/>
    </row>
    <row r="578" spans="1:11" s="144" customFormat="1" ht="13.5">
      <c r="A578" s="1"/>
      <c r="B578" s="68"/>
      <c r="C578" s="68"/>
      <c r="D578" s="1"/>
      <c r="E578" s="3"/>
      <c r="G578" s="63"/>
      <c r="H578" s="63"/>
      <c r="I578" s="1"/>
      <c r="J578" s="1"/>
      <c r="K578" s="1"/>
    </row>
    <row r="579" spans="1:11" s="144" customFormat="1" ht="13.5">
      <c r="A579" s="1"/>
      <c r="B579" s="68"/>
      <c r="C579" s="68"/>
      <c r="D579" s="1"/>
      <c r="E579" s="3"/>
      <c r="G579" s="63"/>
      <c r="H579" s="63"/>
      <c r="I579" s="1"/>
      <c r="J579" s="1"/>
      <c r="K579" s="1"/>
    </row>
    <row r="580" spans="1:11" s="144" customFormat="1" ht="13.5">
      <c r="A580" s="1"/>
      <c r="B580" s="68"/>
      <c r="C580" s="68"/>
      <c r="D580" s="1"/>
      <c r="E580" s="3"/>
      <c r="G580" s="63"/>
      <c r="H580" s="63"/>
      <c r="I580" s="1"/>
      <c r="J580" s="1"/>
      <c r="K580" s="1"/>
    </row>
    <row r="581" spans="1:11" s="144" customFormat="1" ht="13.5">
      <c r="A581" s="1"/>
      <c r="B581" s="68"/>
      <c r="C581" s="68"/>
      <c r="D581" s="1"/>
      <c r="E581" s="3"/>
      <c r="G581" s="63"/>
      <c r="H581" s="63"/>
      <c r="I581" s="1"/>
      <c r="J581" s="1"/>
      <c r="K581" s="1"/>
    </row>
    <row r="582" spans="1:11" s="144" customFormat="1" ht="13.5">
      <c r="A582" s="1"/>
      <c r="B582" s="68"/>
      <c r="C582" s="68"/>
      <c r="D582" s="1"/>
      <c r="E582" s="3"/>
      <c r="G582" s="63"/>
      <c r="H582" s="63"/>
      <c r="I582" s="1"/>
      <c r="J582" s="1"/>
      <c r="K582" s="1"/>
    </row>
    <row r="583" spans="1:11" s="144" customFormat="1" ht="13.5">
      <c r="A583" s="1"/>
      <c r="B583" s="68"/>
      <c r="C583" s="68"/>
      <c r="D583" s="1"/>
      <c r="E583" s="3"/>
      <c r="G583" s="63"/>
      <c r="H583" s="63"/>
      <c r="I583" s="1"/>
      <c r="J583" s="1"/>
      <c r="K583" s="1"/>
    </row>
    <row r="584" spans="1:11" s="144" customFormat="1" ht="13.5">
      <c r="A584" s="1"/>
      <c r="B584" s="68"/>
      <c r="C584" s="68"/>
      <c r="D584" s="1"/>
      <c r="E584" s="3"/>
      <c r="G584" s="63"/>
      <c r="H584" s="63"/>
      <c r="I584" s="1"/>
      <c r="J584" s="1"/>
      <c r="K584" s="1"/>
    </row>
    <row r="585" spans="1:11" s="144" customFormat="1" ht="13.5">
      <c r="A585" s="1"/>
      <c r="B585" s="68"/>
      <c r="C585" s="68"/>
      <c r="D585" s="1"/>
      <c r="E585" s="3"/>
      <c r="G585" s="63"/>
      <c r="H585" s="63"/>
      <c r="I585" s="1"/>
      <c r="J585" s="1"/>
      <c r="K585" s="1"/>
    </row>
    <row r="586" spans="1:11" s="144" customFormat="1" ht="13.5">
      <c r="A586" s="1"/>
      <c r="B586" s="68"/>
      <c r="C586" s="68"/>
      <c r="D586" s="1"/>
      <c r="E586" s="3"/>
      <c r="G586" s="63"/>
      <c r="H586" s="63"/>
      <c r="I586" s="1"/>
      <c r="J586" s="1"/>
      <c r="K586" s="1"/>
    </row>
    <row r="587" spans="1:11" s="144" customFormat="1" ht="13.5">
      <c r="A587" s="1"/>
      <c r="B587" s="68"/>
      <c r="C587" s="68"/>
      <c r="D587" s="1"/>
      <c r="E587" s="3"/>
      <c r="G587" s="63"/>
      <c r="H587" s="63"/>
      <c r="I587" s="1"/>
      <c r="J587" s="1"/>
      <c r="K587" s="1"/>
    </row>
    <row r="588" spans="1:11" s="144" customFormat="1" ht="13.5">
      <c r="A588" s="1"/>
      <c r="B588" s="68"/>
      <c r="C588" s="68"/>
      <c r="D588" s="1"/>
      <c r="E588" s="3"/>
      <c r="G588" s="63"/>
      <c r="H588" s="63"/>
      <c r="I588" s="1"/>
      <c r="J588" s="1"/>
      <c r="K588" s="1"/>
    </row>
    <row r="589" spans="1:11" s="144" customFormat="1" ht="13.5">
      <c r="A589" s="1"/>
      <c r="B589" s="68"/>
      <c r="C589" s="68"/>
      <c r="D589" s="1"/>
      <c r="E589" s="3"/>
      <c r="G589" s="63"/>
      <c r="H589" s="63"/>
      <c r="I589" s="1"/>
      <c r="J589" s="1"/>
      <c r="K589" s="1"/>
    </row>
    <row r="590" spans="1:11" s="144" customFormat="1" ht="13.5">
      <c r="A590" s="1"/>
      <c r="B590" s="68"/>
      <c r="C590" s="68"/>
      <c r="D590" s="1"/>
      <c r="E590" s="3"/>
      <c r="G590" s="63"/>
      <c r="H590" s="63"/>
      <c r="I590" s="1"/>
      <c r="J590" s="1"/>
      <c r="K590" s="1"/>
    </row>
    <row r="591" spans="1:11" s="144" customFormat="1" ht="13.5">
      <c r="A591" s="1"/>
      <c r="B591" s="68"/>
      <c r="C591" s="68"/>
      <c r="D591" s="1"/>
      <c r="E591" s="3"/>
      <c r="G591" s="63"/>
      <c r="H591" s="63"/>
      <c r="I591" s="1"/>
      <c r="J591" s="1"/>
      <c r="K591" s="1"/>
    </row>
    <row r="592" spans="1:11" s="144" customFormat="1" ht="13.5">
      <c r="A592" s="1"/>
      <c r="B592" s="68"/>
      <c r="C592" s="68"/>
      <c r="D592" s="1"/>
      <c r="E592" s="3"/>
      <c r="G592" s="63"/>
      <c r="H592" s="63"/>
      <c r="I592" s="1"/>
      <c r="J592" s="1"/>
      <c r="K592" s="1"/>
    </row>
    <row r="593" spans="1:11" s="144" customFormat="1" ht="13.5">
      <c r="A593" s="1"/>
      <c r="B593" s="68"/>
      <c r="C593" s="68"/>
      <c r="D593" s="1"/>
      <c r="E593" s="3"/>
      <c r="G593" s="63"/>
      <c r="H593" s="63"/>
      <c r="I593" s="1"/>
      <c r="J593" s="1"/>
      <c r="K593" s="1"/>
    </row>
    <row r="594" spans="1:11" s="144" customFormat="1" ht="13.5">
      <c r="A594" s="1"/>
      <c r="B594" s="68"/>
      <c r="C594" s="68"/>
      <c r="D594" s="1"/>
      <c r="E594" s="3"/>
      <c r="G594" s="63"/>
      <c r="H594" s="63"/>
      <c r="I594" s="1"/>
      <c r="J594" s="1"/>
      <c r="K594" s="1"/>
    </row>
    <row r="595" spans="1:11" s="144" customFormat="1" ht="13.5">
      <c r="A595" s="1"/>
      <c r="B595" s="68"/>
      <c r="C595" s="68"/>
      <c r="D595" s="1"/>
      <c r="E595" s="3"/>
      <c r="G595" s="63"/>
      <c r="H595" s="63"/>
      <c r="I595" s="1"/>
      <c r="J595" s="1"/>
      <c r="K595" s="1"/>
    </row>
    <row r="596" spans="1:11" s="144" customFormat="1" ht="13.5">
      <c r="A596" s="1"/>
      <c r="B596" s="68"/>
      <c r="C596" s="68"/>
      <c r="D596" s="1"/>
      <c r="E596" s="3"/>
      <c r="G596" s="63"/>
      <c r="H596" s="63"/>
      <c r="I596" s="1"/>
      <c r="J596" s="1"/>
      <c r="K596" s="1"/>
    </row>
    <row r="597" spans="1:11" s="144" customFormat="1" ht="13.5">
      <c r="A597" s="1"/>
      <c r="B597" s="68"/>
      <c r="C597" s="68"/>
      <c r="D597" s="1"/>
      <c r="E597" s="3"/>
      <c r="G597" s="63"/>
      <c r="H597" s="63"/>
      <c r="I597" s="1"/>
      <c r="J597" s="1"/>
      <c r="K597" s="1"/>
    </row>
    <row r="598" spans="1:11" s="144" customFormat="1" ht="13.5">
      <c r="A598" s="1"/>
      <c r="B598" s="68"/>
      <c r="C598" s="68"/>
      <c r="D598" s="1"/>
      <c r="E598" s="3"/>
      <c r="G598" s="63"/>
      <c r="H598" s="63"/>
      <c r="I598" s="1"/>
      <c r="J598" s="1"/>
      <c r="K598" s="1"/>
    </row>
    <row r="599" spans="1:11" s="144" customFormat="1" ht="13.5">
      <c r="A599" s="1"/>
      <c r="B599" s="68"/>
      <c r="C599" s="68"/>
      <c r="D599" s="1"/>
      <c r="E599" s="3"/>
      <c r="G599" s="63"/>
      <c r="H599" s="63"/>
      <c r="I599" s="1"/>
      <c r="J599" s="1"/>
      <c r="K599" s="1"/>
    </row>
    <row r="600" spans="1:11" s="144" customFormat="1" ht="13.5">
      <c r="A600" s="1"/>
      <c r="B600" s="68"/>
      <c r="C600" s="68"/>
      <c r="D600" s="1"/>
      <c r="E600" s="3"/>
      <c r="G600" s="63"/>
      <c r="H600" s="63"/>
      <c r="I600" s="1"/>
      <c r="J600" s="1"/>
      <c r="K600" s="1"/>
    </row>
    <row r="601" spans="1:11" s="144" customFormat="1" ht="13.5">
      <c r="A601" s="1"/>
      <c r="B601" s="68"/>
      <c r="C601" s="68"/>
      <c r="D601" s="1"/>
      <c r="E601" s="3"/>
      <c r="G601" s="63"/>
      <c r="H601" s="63"/>
      <c r="I601" s="1"/>
      <c r="J601" s="1"/>
      <c r="K601" s="1"/>
    </row>
    <row r="602" spans="1:11" s="144" customFormat="1" ht="13.5">
      <c r="A602" s="1"/>
      <c r="B602" s="68"/>
      <c r="C602" s="68"/>
      <c r="D602" s="1"/>
      <c r="E602" s="3"/>
      <c r="G602" s="63"/>
      <c r="H602" s="63"/>
      <c r="I602" s="1"/>
      <c r="J602" s="1"/>
      <c r="K602" s="1"/>
    </row>
    <row r="603" spans="1:11" s="144" customFormat="1" ht="13.5">
      <c r="A603" s="1"/>
      <c r="B603" s="68"/>
      <c r="C603" s="68"/>
      <c r="D603" s="1"/>
      <c r="E603" s="3"/>
      <c r="G603" s="63"/>
      <c r="H603" s="63"/>
      <c r="I603" s="1"/>
      <c r="J603" s="1"/>
      <c r="K603" s="1"/>
    </row>
    <row r="604" spans="1:11" s="144" customFormat="1" ht="13.5">
      <c r="A604" s="1"/>
      <c r="B604" s="68"/>
      <c r="C604" s="68"/>
      <c r="D604" s="1"/>
      <c r="E604" s="3"/>
      <c r="G604" s="63"/>
      <c r="H604" s="63"/>
      <c r="I604" s="1"/>
      <c r="J604" s="1"/>
      <c r="K604" s="1"/>
    </row>
    <row r="605" spans="1:11" s="144" customFormat="1" ht="13.5">
      <c r="A605" s="1"/>
      <c r="B605" s="68"/>
      <c r="C605" s="68"/>
      <c r="D605" s="1"/>
      <c r="E605" s="3"/>
      <c r="G605" s="63"/>
      <c r="H605" s="63"/>
      <c r="I605" s="1"/>
      <c r="J605" s="1"/>
      <c r="K605" s="1"/>
    </row>
    <row r="606" spans="1:11" s="144" customFormat="1" ht="13.5">
      <c r="A606" s="1"/>
      <c r="B606" s="68"/>
      <c r="C606" s="68"/>
      <c r="D606" s="1"/>
      <c r="E606" s="3"/>
      <c r="G606" s="63"/>
      <c r="H606" s="63"/>
      <c r="I606" s="1"/>
      <c r="J606" s="1"/>
      <c r="K606" s="1"/>
    </row>
    <row r="607" spans="1:11" s="144" customFormat="1" ht="13.5">
      <c r="A607" s="1"/>
      <c r="B607" s="68"/>
      <c r="C607" s="68"/>
      <c r="D607" s="1"/>
      <c r="E607" s="3"/>
      <c r="G607" s="63"/>
      <c r="H607" s="63"/>
      <c r="I607" s="1"/>
      <c r="J607" s="1"/>
      <c r="K607" s="1"/>
    </row>
    <row r="608" spans="1:11" s="144" customFormat="1" ht="13.5">
      <c r="A608" s="1"/>
      <c r="B608" s="68"/>
      <c r="C608" s="68"/>
      <c r="D608" s="1"/>
      <c r="E608" s="3"/>
      <c r="G608" s="63"/>
      <c r="H608" s="63"/>
      <c r="I608" s="1"/>
      <c r="J608" s="1"/>
      <c r="K608" s="1"/>
    </row>
    <row r="609" spans="1:11" s="144" customFormat="1" ht="13.5">
      <c r="A609" s="1"/>
      <c r="B609" s="68"/>
      <c r="C609" s="68"/>
      <c r="D609" s="1"/>
      <c r="E609" s="3"/>
      <c r="G609" s="63"/>
      <c r="H609" s="63"/>
      <c r="I609" s="1"/>
      <c r="J609" s="1"/>
      <c r="K609" s="1"/>
    </row>
    <row r="610" spans="1:11" s="144" customFormat="1" ht="13.5">
      <c r="A610" s="1"/>
      <c r="B610" s="68"/>
      <c r="C610" s="68"/>
      <c r="D610" s="1"/>
      <c r="E610" s="3"/>
      <c r="G610" s="63"/>
      <c r="H610" s="63"/>
      <c r="I610" s="1"/>
      <c r="J610" s="1"/>
      <c r="K610" s="1"/>
    </row>
    <row r="611" spans="1:11" s="144" customFormat="1" ht="13.5">
      <c r="A611" s="1"/>
      <c r="B611" s="68"/>
      <c r="C611" s="68"/>
      <c r="D611" s="1"/>
      <c r="E611" s="3"/>
      <c r="G611" s="63"/>
      <c r="H611" s="63"/>
      <c r="I611" s="1"/>
      <c r="J611" s="1"/>
      <c r="K611" s="1"/>
    </row>
    <row r="612" spans="1:11" s="144" customFormat="1" ht="13.5">
      <c r="A612" s="1"/>
      <c r="B612" s="68"/>
      <c r="C612" s="68"/>
      <c r="D612" s="1"/>
      <c r="E612" s="3"/>
      <c r="G612" s="63"/>
      <c r="H612" s="63"/>
      <c r="I612" s="1"/>
      <c r="J612" s="1"/>
      <c r="K612" s="1"/>
    </row>
    <row r="613" spans="1:11" s="144" customFormat="1" ht="13.5">
      <c r="A613" s="1"/>
      <c r="B613" s="68"/>
      <c r="C613" s="68"/>
      <c r="D613" s="1"/>
      <c r="E613" s="3"/>
      <c r="G613" s="63"/>
      <c r="H613" s="63"/>
      <c r="I613" s="1"/>
      <c r="J613" s="1"/>
      <c r="K613" s="1"/>
    </row>
    <row r="614" spans="1:11" s="144" customFormat="1" ht="13.5">
      <c r="A614" s="1"/>
      <c r="B614" s="68"/>
      <c r="C614" s="68"/>
      <c r="D614" s="1"/>
      <c r="E614" s="3"/>
      <c r="G614" s="63"/>
      <c r="H614" s="63"/>
      <c r="I614" s="1"/>
      <c r="J614" s="1"/>
      <c r="K614" s="1"/>
    </row>
    <row r="615" spans="1:11" s="144" customFormat="1" ht="13.5">
      <c r="A615" s="1"/>
      <c r="B615" s="68"/>
      <c r="C615" s="68"/>
      <c r="D615" s="1"/>
      <c r="E615" s="3"/>
      <c r="G615" s="63"/>
      <c r="H615" s="63"/>
      <c r="I615" s="1"/>
      <c r="J615" s="1"/>
      <c r="K615" s="1"/>
    </row>
    <row r="616" spans="1:11" s="144" customFormat="1" ht="13.5">
      <c r="A616" s="1"/>
      <c r="B616" s="68"/>
      <c r="C616" s="68"/>
      <c r="D616" s="1"/>
      <c r="E616" s="3"/>
      <c r="G616" s="63"/>
      <c r="H616" s="63"/>
      <c r="I616" s="1"/>
      <c r="J616" s="1"/>
      <c r="K616" s="1"/>
    </row>
    <row r="617" spans="1:11" s="144" customFormat="1" ht="13.5">
      <c r="A617" s="1"/>
      <c r="B617" s="68"/>
      <c r="C617" s="68"/>
      <c r="D617" s="1"/>
      <c r="E617" s="3"/>
      <c r="G617" s="63"/>
      <c r="H617" s="63"/>
      <c r="I617" s="1"/>
      <c r="J617" s="1"/>
      <c r="K617" s="1"/>
    </row>
    <row r="618" spans="1:11" s="144" customFormat="1" ht="13.5">
      <c r="A618" s="1"/>
      <c r="B618" s="68"/>
      <c r="C618" s="68"/>
      <c r="D618" s="1"/>
      <c r="E618" s="3"/>
      <c r="G618" s="63"/>
      <c r="H618" s="63"/>
      <c r="I618" s="1"/>
      <c r="J618" s="1"/>
      <c r="K618" s="1"/>
    </row>
    <row r="619" spans="1:11" s="144" customFormat="1" ht="13.5">
      <c r="A619" s="1"/>
      <c r="B619" s="68"/>
      <c r="C619" s="68"/>
      <c r="D619" s="1"/>
      <c r="E619" s="3"/>
      <c r="G619" s="63"/>
      <c r="H619" s="63"/>
      <c r="I619" s="1"/>
      <c r="J619" s="1"/>
      <c r="K619" s="1"/>
    </row>
    <row r="620" spans="1:11" s="144" customFormat="1" ht="13.5">
      <c r="A620" s="1"/>
      <c r="B620" s="68"/>
      <c r="C620" s="68"/>
      <c r="D620" s="1"/>
      <c r="E620" s="3"/>
      <c r="G620" s="63"/>
      <c r="H620" s="63"/>
      <c r="I620" s="1"/>
      <c r="J620" s="1"/>
      <c r="K620" s="1"/>
    </row>
    <row r="621" spans="1:11" s="144" customFormat="1" ht="13.5">
      <c r="A621" s="1"/>
      <c r="B621" s="68"/>
      <c r="C621" s="68"/>
      <c r="D621" s="1"/>
      <c r="E621" s="3"/>
      <c r="G621" s="63"/>
      <c r="H621" s="63"/>
      <c r="I621" s="1"/>
      <c r="J621" s="1"/>
      <c r="K621" s="1"/>
    </row>
    <row r="622" spans="1:11" s="144" customFormat="1" ht="13.5">
      <c r="A622" s="1"/>
      <c r="B622" s="68"/>
      <c r="C622" s="68"/>
      <c r="D622" s="1"/>
      <c r="E622" s="3"/>
      <c r="G622" s="63"/>
      <c r="H622" s="63"/>
      <c r="I622" s="1"/>
      <c r="J622" s="1"/>
      <c r="K622" s="1"/>
    </row>
    <row r="623" spans="1:11" s="144" customFormat="1" ht="13.5">
      <c r="A623" s="1"/>
      <c r="B623" s="68"/>
      <c r="C623" s="68"/>
      <c r="D623" s="1"/>
      <c r="E623" s="3"/>
      <c r="G623" s="63"/>
      <c r="H623" s="63"/>
      <c r="I623" s="1"/>
      <c r="J623" s="1"/>
      <c r="K623" s="1"/>
    </row>
    <row r="624" spans="1:11" s="144" customFormat="1" ht="13.5">
      <c r="A624" s="1"/>
      <c r="B624" s="68"/>
      <c r="C624" s="68"/>
      <c r="D624" s="1"/>
      <c r="E624" s="3"/>
      <c r="G624" s="63"/>
      <c r="H624" s="63"/>
      <c r="I624" s="1"/>
      <c r="J624" s="1"/>
      <c r="K624" s="1"/>
    </row>
    <row r="625" spans="1:11" s="144" customFormat="1" ht="13.5">
      <c r="A625" s="1"/>
      <c r="B625" s="68"/>
      <c r="C625" s="68"/>
      <c r="D625" s="1"/>
      <c r="E625" s="3"/>
      <c r="G625" s="63"/>
      <c r="H625" s="63"/>
      <c r="I625" s="1"/>
      <c r="J625" s="1"/>
      <c r="K625" s="1"/>
    </row>
    <row r="626" spans="1:11" s="144" customFormat="1" ht="13.5">
      <c r="A626" s="1"/>
      <c r="B626" s="68"/>
      <c r="C626" s="68"/>
      <c r="D626" s="1"/>
      <c r="E626" s="3"/>
      <c r="G626" s="63"/>
      <c r="H626" s="63"/>
      <c r="I626" s="1"/>
      <c r="J626" s="1"/>
      <c r="K626" s="1"/>
    </row>
    <row r="627" spans="1:11" s="144" customFormat="1" ht="13.5">
      <c r="A627" s="1"/>
      <c r="B627" s="68"/>
      <c r="C627" s="68"/>
      <c r="D627" s="1"/>
      <c r="E627" s="3"/>
      <c r="G627" s="63"/>
      <c r="H627" s="63"/>
      <c r="I627" s="1"/>
      <c r="J627" s="1"/>
      <c r="K627" s="1"/>
    </row>
    <row r="628" spans="1:11" s="144" customFormat="1" ht="13.5">
      <c r="A628" s="1"/>
      <c r="B628" s="68"/>
      <c r="C628" s="68"/>
      <c r="D628" s="1"/>
      <c r="E628" s="3"/>
      <c r="G628" s="63"/>
      <c r="H628" s="63"/>
      <c r="I628" s="1"/>
      <c r="J628" s="1"/>
      <c r="K628" s="1"/>
    </row>
    <row r="629" spans="1:11" s="144" customFormat="1" ht="13.5">
      <c r="A629" s="1"/>
      <c r="B629" s="68"/>
      <c r="C629" s="68"/>
      <c r="D629" s="1"/>
      <c r="E629" s="3"/>
      <c r="G629" s="63"/>
      <c r="H629" s="63"/>
      <c r="I629" s="1"/>
      <c r="J629" s="1"/>
      <c r="K629" s="1"/>
    </row>
    <row r="630" spans="1:11" s="144" customFormat="1" ht="13.5">
      <c r="A630" s="1"/>
      <c r="B630" s="68"/>
      <c r="C630" s="68"/>
      <c r="D630" s="1"/>
      <c r="E630" s="3"/>
      <c r="G630" s="63"/>
      <c r="H630" s="63"/>
      <c r="I630" s="1"/>
      <c r="J630" s="1"/>
      <c r="K630" s="1"/>
    </row>
    <row r="631" spans="1:11" s="144" customFormat="1" ht="13.5">
      <c r="A631" s="1"/>
      <c r="B631" s="68"/>
      <c r="C631" s="68"/>
      <c r="D631" s="1"/>
      <c r="E631" s="3"/>
      <c r="G631" s="63"/>
      <c r="H631" s="63"/>
      <c r="I631" s="1"/>
      <c r="J631" s="1"/>
      <c r="K631" s="1"/>
    </row>
    <row r="632" spans="1:11" s="144" customFormat="1" ht="13.5">
      <c r="A632" s="1"/>
      <c r="B632" s="68"/>
      <c r="C632" s="68"/>
      <c r="D632" s="1"/>
      <c r="E632" s="3"/>
      <c r="G632" s="63"/>
      <c r="H632" s="63"/>
      <c r="I632" s="1"/>
      <c r="J632" s="1"/>
      <c r="K632" s="1"/>
    </row>
    <row r="633" spans="1:11" s="144" customFormat="1" ht="13.5">
      <c r="A633" s="1"/>
      <c r="B633" s="68"/>
      <c r="C633" s="68"/>
      <c r="D633" s="1"/>
      <c r="E633" s="3"/>
      <c r="G633" s="63"/>
      <c r="H633" s="63"/>
      <c r="I633" s="1"/>
      <c r="J633" s="1"/>
      <c r="K633" s="1"/>
    </row>
    <row r="634" spans="1:11" s="144" customFormat="1" ht="13.5">
      <c r="A634" s="1"/>
      <c r="B634" s="68"/>
      <c r="C634" s="68"/>
      <c r="D634" s="1"/>
      <c r="E634" s="3"/>
      <c r="G634" s="63"/>
      <c r="H634" s="63"/>
      <c r="I634" s="1"/>
      <c r="J634" s="1"/>
      <c r="K634" s="1"/>
    </row>
    <row r="635" spans="1:11" s="144" customFormat="1" ht="13.5">
      <c r="A635" s="1"/>
      <c r="B635" s="68"/>
      <c r="C635" s="68"/>
      <c r="D635" s="1"/>
      <c r="E635" s="3"/>
      <c r="G635" s="63"/>
      <c r="H635" s="63"/>
      <c r="I635" s="1"/>
      <c r="J635" s="1"/>
      <c r="K635" s="1"/>
    </row>
    <row r="636" spans="1:11" s="144" customFormat="1" ht="13.5">
      <c r="A636" s="1"/>
      <c r="B636" s="68"/>
      <c r="C636" s="68"/>
      <c r="D636" s="1"/>
      <c r="E636" s="3"/>
      <c r="G636" s="63"/>
      <c r="H636" s="63"/>
      <c r="I636" s="1"/>
      <c r="J636" s="1"/>
      <c r="K636" s="1"/>
    </row>
    <row r="637" spans="1:11" s="144" customFormat="1" ht="13.5">
      <c r="A637" s="1"/>
      <c r="B637" s="68"/>
      <c r="C637" s="68"/>
      <c r="D637" s="1"/>
      <c r="E637" s="3"/>
      <c r="G637" s="63"/>
      <c r="H637" s="63"/>
      <c r="I637" s="1"/>
      <c r="J637" s="1"/>
      <c r="K637" s="1"/>
    </row>
    <row r="638" spans="1:11" s="144" customFormat="1" ht="13.5">
      <c r="A638" s="1"/>
      <c r="B638" s="68"/>
      <c r="C638" s="68"/>
      <c r="D638" s="1"/>
      <c r="E638" s="3"/>
      <c r="G638" s="63"/>
      <c r="H638" s="63"/>
      <c r="I638" s="1"/>
      <c r="J638" s="1"/>
      <c r="K638" s="1"/>
    </row>
    <row r="639" spans="1:11" s="144" customFormat="1" ht="13.5">
      <c r="A639" s="1"/>
      <c r="B639" s="68"/>
      <c r="C639" s="68"/>
      <c r="D639" s="1"/>
      <c r="E639" s="3"/>
      <c r="G639" s="63"/>
      <c r="H639" s="63"/>
      <c r="I639" s="1"/>
      <c r="J639" s="1"/>
      <c r="K639" s="1"/>
    </row>
    <row r="640" spans="1:11" s="144" customFormat="1" ht="13.5">
      <c r="A640" s="1"/>
      <c r="B640" s="68"/>
      <c r="C640" s="68"/>
      <c r="D640" s="1"/>
      <c r="E640" s="3"/>
      <c r="G640" s="63"/>
      <c r="H640" s="63"/>
      <c r="I640" s="1"/>
      <c r="J640" s="1"/>
      <c r="K640" s="1"/>
    </row>
    <row r="641" spans="1:11" s="144" customFormat="1" ht="13.5">
      <c r="A641" s="1"/>
      <c r="B641" s="68"/>
      <c r="C641" s="68"/>
      <c r="D641" s="1"/>
      <c r="E641" s="3"/>
      <c r="G641" s="63"/>
      <c r="H641" s="63"/>
      <c r="I641" s="1"/>
      <c r="J641" s="1"/>
      <c r="K641" s="1"/>
    </row>
    <row r="642" spans="1:11" s="144" customFormat="1" ht="13.5">
      <c r="A642" s="1"/>
      <c r="B642" s="68"/>
      <c r="C642" s="68"/>
      <c r="D642" s="1"/>
      <c r="E642" s="3"/>
      <c r="G642" s="63"/>
      <c r="H642" s="63"/>
      <c r="I642" s="1"/>
      <c r="J642" s="1"/>
      <c r="K642" s="1"/>
    </row>
    <row r="643" spans="1:11" s="144" customFormat="1" ht="13.5">
      <c r="A643" s="1"/>
      <c r="B643" s="68"/>
      <c r="C643" s="68"/>
      <c r="D643" s="1"/>
      <c r="E643" s="3"/>
      <c r="G643" s="63"/>
      <c r="H643" s="63"/>
      <c r="I643" s="1"/>
      <c r="J643" s="1"/>
      <c r="K643" s="1"/>
    </row>
    <row r="644" spans="1:11" s="144" customFormat="1" ht="13.5">
      <c r="A644" s="1"/>
      <c r="B644" s="68"/>
      <c r="C644" s="68"/>
      <c r="D644" s="1"/>
      <c r="E644" s="3"/>
      <c r="G644" s="63"/>
      <c r="H644" s="63"/>
      <c r="I644" s="1"/>
      <c r="J644" s="1"/>
      <c r="K644" s="1"/>
    </row>
    <row r="645" spans="1:11" s="144" customFormat="1" ht="13.5">
      <c r="A645" s="1"/>
      <c r="B645" s="68"/>
      <c r="C645" s="68"/>
      <c r="D645" s="1"/>
      <c r="E645" s="3"/>
      <c r="G645" s="63"/>
      <c r="H645" s="63"/>
      <c r="I645" s="1"/>
      <c r="J645" s="1"/>
      <c r="K645" s="1"/>
    </row>
    <row r="646" spans="1:11" s="144" customFormat="1" ht="13.5">
      <c r="A646" s="1"/>
      <c r="B646" s="68"/>
      <c r="C646" s="68"/>
      <c r="D646" s="1"/>
      <c r="E646" s="3"/>
      <c r="G646" s="63"/>
      <c r="H646" s="63"/>
      <c r="I646" s="1"/>
      <c r="J646" s="1"/>
      <c r="K646" s="1"/>
    </row>
    <row r="647" spans="1:11" s="144" customFormat="1" ht="13.5">
      <c r="A647" s="1"/>
      <c r="B647" s="68"/>
      <c r="C647" s="68"/>
      <c r="D647" s="1"/>
      <c r="E647" s="3"/>
      <c r="G647" s="63"/>
      <c r="H647" s="63"/>
      <c r="I647" s="1"/>
      <c r="J647" s="1"/>
      <c r="K647" s="1"/>
    </row>
    <row r="648" spans="1:11" s="144" customFormat="1" ht="13.5">
      <c r="A648" s="1"/>
      <c r="B648" s="68"/>
      <c r="C648" s="68"/>
      <c r="D648" s="1"/>
      <c r="E648" s="3"/>
      <c r="G648" s="63"/>
      <c r="H648" s="63"/>
      <c r="I648" s="1"/>
      <c r="J648" s="1"/>
      <c r="K648" s="1"/>
    </row>
    <row r="649" spans="1:11" s="144" customFormat="1" ht="13.5">
      <c r="A649" s="1"/>
      <c r="B649" s="68"/>
      <c r="C649" s="68"/>
      <c r="D649" s="1"/>
      <c r="E649" s="3"/>
      <c r="G649" s="63"/>
      <c r="H649" s="63"/>
      <c r="I649" s="1"/>
      <c r="J649" s="1"/>
      <c r="K649" s="1"/>
    </row>
    <row r="650" spans="1:11" s="144" customFormat="1" ht="13.5">
      <c r="A650" s="1"/>
      <c r="B650" s="68"/>
      <c r="C650" s="68"/>
      <c r="D650" s="1"/>
      <c r="E650" s="3"/>
      <c r="G650" s="63"/>
      <c r="H650" s="63"/>
      <c r="I650" s="1"/>
      <c r="J650" s="1"/>
      <c r="K650" s="1"/>
    </row>
    <row r="651" spans="1:11" s="144" customFormat="1" ht="13.5">
      <c r="A651" s="1"/>
      <c r="B651" s="68"/>
      <c r="C651" s="68"/>
      <c r="D651" s="1"/>
      <c r="E651" s="3"/>
      <c r="G651" s="63"/>
      <c r="H651" s="63"/>
      <c r="I651" s="1"/>
      <c r="J651" s="1"/>
      <c r="K651" s="1"/>
    </row>
    <row r="652" spans="1:11" s="144" customFormat="1" ht="13.5">
      <c r="A652" s="1"/>
      <c r="B652" s="68"/>
      <c r="C652" s="68"/>
      <c r="D652" s="1"/>
      <c r="E652" s="3"/>
      <c r="G652" s="63"/>
      <c r="H652" s="63"/>
      <c r="I652" s="1"/>
      <c r="J652" s="1"/>
      <c r="K652" s="1"/>
    </row>
    <row r="653" spans="1:11" s="144" customFormat="1" ht="13.5">
      <c r="A653" s="1"/>
      <c r="B653" s="68"/>
      <c r="C653" s="68"/>
      <c r="D653" s="1"/>
      <c r="E653" s="3"/>
      <c r="G653" s="63"/>
      <c r="H653" s="63"/>
      <c r="I653" s="1"/>
      <c r="J653" s="1"/>
      <c r="K653" s="1"/>
    </row>
    <row r="654" spans="1:11" s="144" customFormat="1" ht="13.5">
      <c r="A654" s="1"/>
      <c r="B654" s="68"/>
      <c r="C654" s="68"/>
      <c r="D654" s="1"/>
      <c r="E654" s="3"/>
      <c r="G654" s="63"/>
      <c r="H654" s="63"/>
      <c r="I654" s="1"/>
      <c r="J654" s="1"/>
      <c r="K654" s="1"/>
    </row>
    <row r="655" spans="1:11" s="144" customFormat="1" ht="13.5">
      <c r="A655" s="1"/>
      <c r="B655" s="68"/>
      <c r="C655" s="68"/>
      <c r="D655" s="1"/>
      <c r="E655" s="3"/>
      <c r="G655" s="63"/>
      <c r="H655" s="63"/>
      <c r="I655" s="1"/>
      <c r="J655" s="1"/>
      <c r="K655" s="1"/>
    </row>
    <row r="656" spans="1:11" s="144" customFormat="1" ht="13.5">
      <c r="A656" s="1"/>
      <c r="B656" s="68"/>
      <c r="C656" s="68"/>
      <c r="D656" s="1"/>
      <c r="E656" s="3"/>
      <c r="G656" s="63"/>
      <c r="H656" s="63"/>
      <c r="I656" s="1"/>
      <c r="J656" s="1"/>
      <c r="K656" s="1"/>
    </row>
    <row r="657" spans="1:11" s="144" customFormat="1" ht="13.5">
      <c r="A657" s="1"/>
      <c r="B657" s="68"/>
      <c r="C657" s="68"/>
      <c r="D657" s="1"/>
      <c r="E657" s="3"/>
      <c r="G657" s="63"/>
      <c r="H657" s="63"/>
      <c r="I657" s="1"/>
      <c r="J657" s="1"/>
      <c r="K657" s="1"/>
    </row>
    <row r="658" spans="1:11" s="144" customFormat="1" ht="13.5">
      <c r="A658" s="1"/>
      <c r="B658" s="68"/>
      <c r="C658" s="68"/>
      <c r="D658" s="1"/>
      <c r="E658" s="3"/>
      <c r="G658" s="63"/>
      <c r="H658" s="63"/>
      <c r="I658" s="1"/>
      <c r="J658" s="1"/>
      <c r="K658" s="1"/>
    </row>
    <row r="659" spans="1:11" s="144" customFormat="1" ht="13.5">
      <c r="A659" s="1"/>
      <c r="B659" s="68"/>
      <c r="C659" s="68"/>
      <c r="D659" s="1"/>
      <c r="E659" s="3"/>
      <c r="G659" s="63"/>
      <c r="H659" s="63"/>
      <c r="I659" s="1"/>
      <c r="J659" s="1"/>
      <c r="K659" s="1"/>
    </row>
    <row r="660" spans="1:11" s="144" customFormat="1" ht="13.5">
      <c r="A660" s="1"/>
      <c r="B660" s="68"/>
      <c r="C660" s="68"/>
      <c r="D660" s="1"/>
      <c r="E660" s="3"/>
      <c r="G660" s="63"/>
      <c r="H660" s="63"/>
      <c r="I660" s="1"/>
      <c r="J660" s="1"/>
      <c r="K660" s="1"/>
    </row>
    <row r="661" spans="1:11" s="144" customFormat="1" ht="13.5">
      <c r="A661" s="1"/>
      <c r="B661" s="68"/>
      <c r="C661" s="68"/>
      <c r="D661" s="1"/>
      <c r="E661" s="3"/>
      <c r="G661" s="63"/>
      <c r="H661" s="63"/>
      <c r="I661" s="1"/>
      <c r="J661" s="1"/>
      <c r="K661" s="1"/>
    </row>
    <row r="662" spans="1:11" s="144" customFormat="1" ht="13.5">
      <c r="A662" s="1"/>
      <c r="B662" s="68"/>
      <c r="C662" s="68"/>
      <c r="D662" s="1"/>
      <c r="E662" s="3"/>
      <c r="G662" s="63"/>
      <c r="H662" s="63"/>
      <c r="I662" s="1"/>
      <c r="J662" s="1"/>
      <c r="K662" s="1"/>
    </row>
    <row r="663" spans="1:11" s="144" customFormat="1" ht="13.5">
      <c r="A663" s="1"/>
      <c r="B663" s="68"/>
      <c r="C663" s="68"/>
      <c r="D663" s="1"/>
      <c r="E663" s="3"/>
      <c r="G663" s="63"/>
      <c r="H663" s="63"/>
      <c r="I663" s="1"/>
      <c r="J663" s="1"/>
      <c r="K663" s="1"/>
    </row>
    <row r="664" spans="1:11" s="144" customFormat="1" ht="13.5">
      <c r="A664" s="1"/>
      <c r="B664" s="68"/>
      <c r="C664" s="68"/>
      <c r="D664" s="1"/>
      <c r="E664" s="3"/>
      <c r="G664" s="63"/>
      <c r="H664" s="63"/>
      <c r="I664" s="1"/>
      <c r="J664" s="1"/>
      <c r="K664" s="1"/>
    </row>
    <row r="665" spans="1:11" s="144" customFormat="1" ht="13.5">
      <c r="A665" s="1"/>
      <c r="B665" s="68"/>
      <c r="C665" s="68"/>
      <c r="D665" s="1"/>
      <c r="E665" s="3"/>
      <c r="G665" s="63"/>
      <c r="H665" s="63"/>
      <c r="I665" s="1"/>
      <c r="J665" s="1"/>
      <c r="K665" s="1"/>
    </row>
    <row r="666" spans="1:11" s="144" customFormat="1" ht="13.5">
      <c r="A666" s="1"/>
      <c r="B666" s="68"/>
      <c r="C666" s="68"/>
      <c r="D666" s="1"/>
      <c r="E666" s="3"/>
      <c r="G666" s="63"/>
      <c r="H666" s="63"/>
      <c r="I666" s="1"/>
      <c r="J666" s="1"/>
      <c r="K666" s="1"/>
    </row>
    <row r="667" spans="1:11" s="144" customFormat="1" ht="13.5">
      <c r="A667" s="1"/>
      <c r="B667" s="68"/>
      <c r="C667" s="68"/>
      <c r="D667" s="1"/>
      <c r="E667" s="3"/>
      <c r="G667" s="63"/>
      <c r="H667" s="63"/>
      <c r="I667" s="1"/>
      <c r="J667" s="1"/>
      <c r="K667" s="1"/>
    </row>
    <row r="668" spans="1:11" s="144" customFormat="1" ht="13.5">
      <c r="A668" s="1"/>
      <c r="B668" s="68"/>
      <c r="C668" s="68"/>
      <c r="D668" s="1"/>
      <c r="E668" s="3"/>
      <c r="G668" s="63"/>
      <c r="H668" s="63"/>
      <c r="I668" s="1"/>
      <c r="J668" s="1"/>
      <c r="K668" s="1"/>
    </row>
    <row r="669" spans="1:11" s="144" customFormat="1" ht="13.5">
      <c r="A669" s="1"/>
      <c r="B669" s="68"/>
      <c r="C669" s="68"/>
      <c r="D669" s="1"/>
      <c r="E669" s="3"/>
      <c r="G669" s="63"/>
      <c r="H669" s="63"/>
      <c r="I669" s="1"/>
      <c r="J669" s="1"/>
      <c r="K669" s="1"/>
    </row>
    <row r="670" spans="1:11" s="144" customFormat="1" ht="13.5">
      <c r="A670" s="1"/>
      <c r="B670" s="68"/>
      <c r="C670" s="68"/>
      <c r="D670" s="1"/>
      <c r="E670" s="3"/>
      <c r="G670" s="63"/>
      <c r="H670" s="63"/>
      <c r="I670" s="1"/>
      <c r="J670" s="1"/>
      <c r="K670" s="1"/>
    </row>
    <row r="671" spans="1:11" s="144" customFormat="1" ht="13.5">
      <c r="A671" s="1"/>
      <c r="B671" s="68"/>
      <c r="C671" s="68"/>
      <c r="D671" s="1"/>
      <c r="E671" s="3"/>
      <c r="G671" s="63"/>
      <c r="H671" s="63"/>
      <c r="I671" s="1"/>
      <c r="J671" s="1"/>
      <c r="K671" s="1"/>
    </row>
    <row r="672" spans="1:11" s="144" customFormat="1" ht="13.5">
      <c r="A672" s="1"/>
      <c r="B672" s="68"/>
      <c r="C672" s="68"/>
      <c r="D672" s="1"/>
      <c r="E672" s="3"/>
      <c r="G672" s="63"/>
      <c r="H672" s="63"/>
      <c r="I672" s="1"/>
      <c r="J672" s="1"/>
      <c r="K672" s="1"/>
    </row>
    <row r="673" spans="1:11" s="144" customFormat="1" ht="13.5">
      <c r="A673" s="1"/>
      <c r="B673" s="68"/>
      <c r="C673" s="68"/>
      <c r="D673" s="1"/>
      <c r="E673" s="3"/>
      <c r="G673" s="63"/>
      <c r="H673" s="63"/>
      <c r="I673" s="1"/>
      <c r="J673" s="1"/>
      <c r="K673" s="1"/>
    </row>
    <row r="674" spans="1:11" s="144" customFormat="1" ht="13.5">
      <c r="A674" s="1"/>
      <c r="B674" s="68"/>
      <c r="C674" s="68"/>
      <c r="D674" s="1"/>
      <c r="E674" s="3"/>
      <c r="G674" s="63"/>
      <c r="H674" s="63"/>
      <c r="I674" s="1"/>
      <c r="J674" s="1"/>
      <c r="K674" s="1"/>
    </row>
    <row r="675" spans="1:11" s="144" customFormat="1" ht="13.5">
      <c r="A675" s="1"/>
      <c r="B675" s="68"/>
      <c r="C675" s="68"/>
      <c r="D675" s="1"/>
      <c r="E675" s="3"/>
      <c r="G675" s="63"/>
      <c r="H675" s="63"/>
      <c r="I675" s="1"/>
      <c r="J675" s="1"/>
      <c r="K675" s="1"/>
    </row>
    <row r="676" spans="1:11" s="144" customFormat="1" ht="13.5">
      <c r="A676" s="1"/>
      <c r="B676" s="68"/>
      <c r="C676" s="68"/>
      <c r="D676" s="1"/>
      <c r="E676" s="3"/>
      <c r="G676" s="63"/>
      <c r="H676" s="63"/>
      <c r="I676" s="1"/>
      <c r="J676" s="1"/>
      <c r="K676" s="1"/>
    </row>
    <row r="677" spans="1:11" s="144" customFormat="1" ht="13.5">
      <c r="A677" s="1"/>
      <c r="B677" s="68"/>
      <c r="C677" s="68"/>
      <c r="D677" s="1"/>
      <c r="E677" s="3"/>
      <c r="G677" s="63"/>
      <c r="H677" s="63"/>
      <c r="I677" s="1"/>
      <c r="J677" s="1"/>
      <c r="K677" s="1"/>
    </row>
    <row r="678" spans="1:11" s="144" customFormat="1" ht="13.5">
      <c r="A678" s="1"/>
      <c r="B678" s="68"/>
      <c r="C678" s="68"/>
      <c r="D678" s="1"/>
      <c r="E678" s="3"/>
      <c r="G678" s="63"/>
      <c r="H678" s="63"/>
      <c r="I678" s="1"/>
      <c r="J678" s="1"/>
      <c r="K678" s="1"/>
    </row>
    <row r="679" spans="1:11" s="144" customFormat="1" ht="13.5">
      <c r="A679" s="1"/>
      <c r="B679" s="68"/>
      <c r="C679" s="68"/>
      <c r="D679" s="1"/>
      <c r="E679" s="3"/>
      <c r="G679" s="63"/>
      <c r="H679" s="63"/>
      <c r="I679" s="1"/>
      <c r="J679" s="1"/>
      <c r="K679" s="1"/>
    </row>
    <row r="680" spans="1:11" s="144" customFormat="1" ht="13.5">
      <c r="A680" s="1"/>
      <c r="B680" s="68"/>
      <c r="C680" s="68"/>
      <c r="D680" s="1"/>
      <c r="E680" s="3"/>
      <c r="G680" s="63"/>
      <c r="H680" s="63"/>
      <c r="I680" s="1"/>
      <c r="J680" s="1"/>
      <c r="K680" s="1"/>
    </row>
    <row r="681" spans="1:11" s="144" customFormat="1" ht="13.5">
      <c r="A681" s="1"/>
      <c r="B681" s="68"/>
      <c r="C681" s="68"/>
      <c r="D681" s="1"/>
      <c r="E681" s="3"/>
      <c r="G681" s="63"/>
      <c r="H681" s="63"/>
      <c r="I681" s="1"/>
      <c r="J681" s="1"/>
      <c r="K681" s="1"/>
    </row>
    <row r="682" spans="1:11" s="144" customFormat="1" ht="13.5">
      <c r="A682" s="1"/>
      <c r="B682" s="68"/>
      <c r="C682" s="68"/>
      <c r="D682" s="1"/>
      <c r="E682" s="3"/>
      <c r="G682" s="63"/>
      <c r="H682" s="63"/>
      <c r="I682" s="1"/>
      <c r="J682" s="1"/>
      <c r="K682" s="1"/>
    </row>
    <row r="683" spans="1:11" s="144" customFormat="1" ht="13.5">
      <c r="A683" s="1"/>
      <c r="B683" s="68"/>
      <c r="C683" s="68"/>
      <c r="D683" s="1"/>
      <c r="E683" s="3"/>
      <c r="G683" s="63"/>
      <c r="H683" s="63"/>
      <c r="I683" s="1"/>
      <c r="J683" s="1"/>
      <c r="K683" s="1"/>
    </row>
    <row r="684" spans="1:11" s="144" customFormat="1" ht="13.5">
      <c r="A684" s="1"/>
      <c r="B684" s="68"/>
      <c r="C684" s="68"/>
      <c r="D684" s="1"/>
      <c r="E684" s="3"/>
      <c r="G684" s="63"/>
      <c r="H684" s="63"/>
      <c r="I684" s="1"/>
      <c r="J684" s="1"/>
      <c r="K684" s="1"/>
    </row>
    <row r="685" spans="1:11" s="144" customFormat="1" ht="13.5">
      <c r="A685" s="1"/>
      <c r="B685" s="68"/>
      <c r="C685" s="68"/>
      <c r="D685" s="1"/>
      <c r="E685" s="3"/>
      <c r="G685" s="63"/>
      <c r="H685" s="63"/>
      <c r="I685" s="1"/>
      <c r="J685" s="1"/>
      <c r="K685" s="1"/>
    </row>
    <row r="686" spans="1:11" s="144" customFormat="1" ht="13.5">
      <c r="A686" s="1"/>
      <c r="B686" s="68"/>
      <c r="C686" s="68"/>
      <c r="D686" s="1"/>
      <c r="E686" s="3"/>
      <c r="G686" s="63"/>
      <c r="H686" s="63"/>
      <c r="I686" s="1"/>
      <c r="J686" s="1"/>
      <c r="K686" s="1"/>
    </row>
    <row r="687" spans="1:11" s="144" customFormat="1" ht="13.5">
      <c r="A687" s="1"/>
      <c r="B687" s="68"/>
      <c r="C687" s="68"/>
      <c r="D687" s="1"/>
      <c r="E687" s="3"/>
      <c r="G687" s="63"/>
      <c r="H687" s="63"/>
      <c r="I687" s="1"/>
      <c r="J687" s="1"/>
      <c r="K687" s="1"/>
    </row>
    <row r="688" spans="1:11" s="144" customFormat="1" ht="13.5">
      <c r="A688" s="1"/>
      <c r="B688" s="68"/>
      <c r="C688" s="68"/>
      <c r="D688" s="1"/>
      <c r="E688" s="3"/>
      <c r="G688" s="63"/>
      <c r="H688" s="63"/>
      <c r="I688" s="1"/>
      <c r="J688" s="1"/>
      <c r="K688" s="1"/>
    </row>
    <row r="689" spans="1:11" s="144" customFormat="1" ht="13.5">
      <c r="A689" s="1"/>
      <c r="B689" s="68"/>
      <c r="C689" s="68"/>
      <c r="D689" s="1"/>
      <c r="E689" s="3"/>
      <c r="G689" s="63"/>
      <c r="H689" s="63"/>
      <c r="I689" s="1"/>
      <c r="J689" s="1"/>
      <c r="K689" s="1"/>
    </row>
    <row r="690" spans="1:11" s="144" customFormat="1" ht="13.5">
      <c r="A690" s="1"/>
      <c r="B690" s="68"/>
      <c r="C690" s="68"/>
      <c r="D690" s="1"/>
      <c r="E690" s="3"/>
      <c r="G690" s="63"/>
      <c r="H690" s="63"/>
      <c r="I690" s="1"/>
      <c r="J690" s="1"/>
      <c r="K690" s="1"/>
    </row>
    <row r="691" spans="1:11" s="144" customFormat="1" ht="13.5">
      <c r="A691" s="1"/>
      <c r="B691" s="68"/>
      <c r="C691" s="68"/>
      <c r="D691" s="1"/>
      <c r="E691" s="3"/>
      <c r="G691" s="63"/>
      <c r="H691" s="63"/>
      <c r="I691" s="1"/>
      <c r="J691" s="1"/>
      <c r="K691" s="1"/>
    </row>
    <row r="692" spans="1:11" s="144" customFormat="1" ht="13.5">
      <c r="A692" s="1"/>
      <c r="B692" s="68"/>
      <c r="C692" s="68"/>
      <c r="D692" s="1"/>
      <c r="E692" s="3"/>
      <c r="G692" s="63"/>
      <c r="H692" s="63"/>
      <c r="I692" s="1"/>
      <c r="J692" s="1"/>
      <c r="K692" s="1"/>
    </row>
    <row r="693" spans="1:11" s="144" customFormat="1" ht="13.5">
      <c r="A693" s="1"/>
      <c r="B693" s="68"/>
      <c r="C693" s="68"/>
      <c r="D693" s="1"/>
      <c r="E693" s="3"/>
      <c r="G693" s="63"/>
      <c r="H693" s="63"/>
      <c r="I693" s="1"/>
      <c r="J693" s="1"/>
      <c r="K693" s="1"/>
    </row>
    <row r="694" spans="1:11" s="144" customFormat="1" ht="13.5">
      <c r="A694" s="1"/>
      <c r="B694" s="68"/>
      <c r="C694" s="68"/>
      <c r="D694" s="1"/>
      <c r="E694" s="3"/>
      <c r="G694" s="63"/>
      <c r="H694" s="63"/>
      <c r="I694" s="1"/>
      <c r="J694" s="1"/>
      <c r="K694" s="1"/>
    </row>
    <row r="695" spans="1:11" s="144" customFormat="1" ht="13.5">
      <c r="A695" s="1"/>
      <c r="B695" s="68"/>
      <c r="C695" s="68"/>
      <c r="D695" s="1"/>
      <c r="E695" s="3"/>
      <c r="G695" s="63"/>
      <c r="H695" s="63"/>
      <c r="I695" s="1"/>
      <c r="J695" s="1"/>
      <c r="K695" s="1"/>
    </row>
    <row r="696" spans="1:11" s="144" customFormat="1" ht="13.5">
      <c r="A696" s="1"/>
      <c r="B696" s="68"/>
      <c r="C696" s="68"/>
      <c r="D696" s="1"/>
      <c r="E696" s="3"/>
      <c r="G696" s="63"/>
      <c r="H696" s="63"/>
      <c r="I696" s="1"/>
      <c r="J696" s="1"/>
      <c r="K696" s="1"/>
    </row>
    <row r="697" spans="1:11" s="144" customFormat="1" ht="13.5">
      <c r="A697" s="1"/>
      <c r="B697" s="68"/>
      <c r="C697" s="68"/>
      <c r="D697" s="1"/>
      <c r="E697" s="3"/>
      <c r="G697" s="63"/>
      <c r="H697" s="63"/>
      <c r="I697" s="1"/>
      <c r="J697" s="1"/>
      <c r="K697" s="1"/>
    </row>
    <row r="698" spans="1:11" s="144" customFormat="1" ht="13.5">
      <c r="A698" s="1"/>
      <c r="B698" s="68"/>
      <c r="C698" s="68"/>
      <c r="D698" s="1"/>
      <c r="E698" s="3"/>
      <c r="G698" s="63"/>
      <c r="H698" s="63"/>
      <c r="I698" s="1"/>
      <c r="J698" s="1"/>
      <c r="K698" s="1"/>
    </row>
    <row r="699" spans="1:11" s="144" customFormat="1" ht="13.5">
      <c r="A699" s="1"/>
      <c r="B699" s="68"/>
      <c r="C699" s="68"/>
      <c r="D699" s="1"/>
      <c r="E699" s="3"/>
      <c r="G699" s="63"/>
      <c r="H699" s="63"/>
      <c r="I699" s="1"/>
      <c r="J699" s="1"/>
      <c r="K699" s="1"/>
    </row>
    <row r="700" spans="1:11" s="144" customFormat="1" ht="13.5">
      <c r="A700" s="1"/>
      <c r="B700" s="68"/>
      <c r="C700" s="68"/>
      <c r="D700" s="1"/>
      <c r="E700" s="3"/>
      <c r="G700" s="63"/>
      <c r="H700" s="63"/>
      <c r="I700" s="1"/>
      <c r="J700" s="1"/>
      <c r="K700" s="1"/>
    </row>
    <row r="701" spans="1:11" s="144" customFormat="1" ht="13.5">
      <c r="A701" s="1"/>
      <c r="B701" s="68"/>
      <c r="C701" s="68"/>
      <c r="D701" s="1"/>
      <c r="E701" s="3"/>
      <c r="G701" s="63"/>
      <c r="H701" s="63"/>
      <c r="I701" s="1"/>
      <c r="J701" s="1"/>
      <c r="K701" s="1"/>
    </row>
    <row r="702" spans="1:11" s="144" customFormat="1" ht="13.5">
      <c r="A702" s="1"/>
      <c r="B702" s="68"/>
      <c r="C702" s="68"/>
      <c r="D702" s="1"/>
      <c r="E702" s="3"/>
      <c r="G702" s="63"/>
      <c r="H702" s="63"/>
      <c r="I702" s="1"/>
      <c r="J702" s="1"/>
      <c r="K702" s="1"/>
    </row>
    <row r="703" spans="1:11" s="144" customFormat="1" ht="13.5">
      <c r="A703" s="1"/>
      <c r="B703" s="68"/>
      <c r="C703" s="68"/>
      <c r="D703" s="1"/>
      <c r="E703" s="3"/>
      <c r="G703" s="63"/>
      <c r="H703" s="63"/>
      <c r="I703" s="1"/>
      <c r="J703" s="1"/>
      <c r="K703" s="1"/>
    </row>
    <row r="704" spans="1:11" s="144" customFormat="1" ht="13.5">
      <c r="A704" s="1"/>
      <c r="B704" s="68"/>
      <c r="C704" s="68"/>
      <c r="D704" s="1"/>
      <c r="E704" s="3"/>
      <c r="G704" s="63"/>
      <c r="H704" s="63"/>
      <c r="I704" s="1"/>
      <c r="J704" s="1"/>
      <c r="K704" s="1"/>
    </row>
    <row r="705" spans="1:11" s="144" customFormat="1" ht="13.5">
      <c r="A705" s="1"/>
      <c r="B705" s="68"/>
      <c r="C705" s="68"/>
      <c r="D705" s="1"/>
      <c r="E705" s="3"/>
      <c r="G705" s="63"/>
      <c r="H705" s="63"/>
      <c r="I705" s="1"/>
      <c r="J705" s="1"/>
      <c r="K705" s="1"/>
    </row>
    <row r="706" spans="1:11" s="144" customFormat="1" ht="13.5">
      <c r="A706" s="1"/>
      <c r="B706" s="68"/>
      <c r="C706" s="68"/>
      <c r="D706" s="1"/>
      <c r="E706" s="3"/>
      <c r="G706" s="63"/>
      <c r="H706" s="63"/>
      <c r="I706" s="1"/>
      <c r="J706" s="1"/>
      <c r="K706" s="1"/>
    </row>
    <row r="707" spans="1:11" s="144" customFormat="1" ht="13.5">
      <c r="A707" s="1"/>
      <c r="B707" s="68"/>
      <c r="C707" s="68"/>
      <c r="D707" s="1"/>
      <c r="E707" s="3"/>
      <c r="G707" s="63"/>
      <c r="H707" s="63"/>
      <c r="I707" s="1"/>
      <c r="J707" s="1"/>
      <c r="K707" s="1"/>
    </row>
    <row r="708" spans="1:11" s="144" customFormat="1" ht="13.5">
      <c r="A708" s="1"/>
      <c r="B708" s="68"/>
      <c r="C708" s="68"/>
      <c r="D708" s="1"/>
      <c r="E708" s="3"/>
      <c r="G708" s="63"/>
      <c r="H708" s="63"/>
      <c r="I708" s="1"/>
      <c r="J708" s="1"/>
      <c r="K708" s="1"/>
    </row>
    <row r="709" spans="1:11" s="144" customFormat="1" ht="13.5">
      <c r="A709" s="1"/>
      <c r="B709" s="68"/>
      <c r="C709" s="68"/>
      <c r="D709" s="1"/>
      <c r="E709" s="3"/>
      <c r="G709" s="63"/>
      <c r="H709" s="63"/>
      <c r="I709" s="1"/>
      <c r="J709" s="1"/>
      <c r="K709" s="1"/>
    </row>
    <row r="710" spans="1:11" s="144" customFormat="1" ht="13.5">
      <c r="A710" s="1"/>
      <c r="B710" s="68"/>
      <c r="C710" s="68"/>
      <c r="D710" s="1"/>
      <c r="E710" s="3"/>
      <c r="G710" s="63"/>
      <c r="H710" s="63"/>
      <c r="I710" s="1"/>
      <c r="J710" s="1"/>
      <c r="K710" s="1"/>
    </row>
    <row r="711" spans="1:11" s="144" customFormat="1" ht="13.5">
      <c r="A711" s="1"/>
      <c r="B711" s="68"/>
      <c r="C711" s="68"/>
      <c r="D711" s="1"/>
      <c r="E711" s="3"/>
      <c r="G711" s="63"/>
      <c r="H711" s="63"/>
      <c r="I711" s="1"/>
      <c r="J711" s="1"/>
      <c r="K711" s="1"/>
    </row>
    <row r="712" spans="1:11" s="144" customFormat="1" ht="13.5">
      <c r="A712" s="1"/>
      <c r="B712" s="68"/>
      <c r="C712" s="68"/>
      <c r="D712" s="1"/>
      <c r="E712" s="3"/>
      <c r="G712" s="63"/>
      <c r="H712" s="63"/>
      <c r="I712" s="1"/>
      <c r="J712" s="1"/>
      <c r="K712" s="1"/>
    </row>
    <row r="713" spans="1:11" s="144" customFormat="1" ht="13.5">
      <c r="A713" s="1"/>
      <c r="B713" s="68"/>
      <c r="C713" s="68"/>
      <c r="D713" s="1"/>
      <c r="E713" s="3"/>
      <c r="G713" s="63"/>
      <c r="H713" s="63"/>
      <c r="I713" s="1"/>
      <c r="J713" s="1"/>
      <c r="K713" s="1"/>
    </row>
    <row r="714" spans="1:11" s="144" customFormat="1" ht="13.5">
      <c r="A714" s="1"/>
      <c r="B714" s="68"/>
      <c r="C714" s="68"/>
      <c r="D714" s="1"/>
      <c r="E714" s="3"/>
      <c r="G714" s="63"/>
      <c r="H714" s="63"/>
      <c r="I714" s="1"/>
      <c r="J714" s="1"/>
      <c r="K714" s="1"/>
    </row>
    <row r="715" spans="1:11" s="144" customFormat="1" ht="13.5">
      <c r="A715" s="1"/>
      <c r="B715" s="68"/>
      <c r="C715" s="68"/>
      <c r="D715" s="1"/>
      <c r="E715" s="3"/>
      <c r="G715" s="63"/>
      <c r="H715" s="63"/>
      <c r="I715" s="1"/>
      <c r="J715" s="1"/>
      <c r="K715" s="1"/>
    </row>
    <row r="716" spans="1:11" s="144" customFormat="1" ht="13.5">
      <c r="A716" s="1"/>
      <c r="B716" s="68"/>
      <c r="C716" s="68"/>
      <c r="D716" s="1"/>
      <c r="E716" s="3"/>
      <c r="G716" s="63"/>
      <c r="H716" s="63"/>
      <c r="I716" s="1"/>
      <c r="J716" s="1"/>
      <c r="K716" s="1"/>
    </row>
    <row r="717" spans="1:11" s="144" customFormat="1" ht="13.5">
      <c r="A717" s="1"/>
      <c r="B717" s="68"/>
      <c r="C717" s="68"/>
      <c r="D717" s="1"/>
      <c r="E717" s="3"/>
      <c r="G717" s="63"/>
      <c r="H717" s="63"/>
      <c r="I717" s="1"/>
      <c r="J717" s="1"/>
      <c r="K717" s="1"/>
    </row>
    <row r="718" spans="1:11" s="144" customFormat="1" ht="13.5">
      <c r="A718" s="1"/>
      <c r="B718" s="68"/>
      <c r="C718" s="68"/>
      <c r="D718" s="1"/>
      <c r="E718" s="3"/>
      <c r="G718" s="63"/>
      <c r="H718" s="63"/>
      <c r="I718" s="1"/>
      <c r="J718" s="1"/>
      <c r="K718" s="1"/>
    </row>
    <row r="719" spans="1:11" s="144" customFormat="1" ht="13.5">
      <c r="A719" s="1"/>
      <c r="B719" s="68"/>
      <c r="C719" s="68"/>
      <c r="D719" s="1"/>
      <c r="E719" s="3"/>
      <c r="G719" s="63"/>
      <c r="H719" s="63"/>
      <c r="I719" s="1"/>
      <c r="J719" s="1"/>
      <c r="K719" s="1"/>
    </row>
    <row r="720" spans="1:11" s="144" customFormat="1" ht="13.5">
      <c r="A720" s="1"/>
      <c r="B720" s="68"/>
      <c r="C720" s="68"/>
      <c r="D720" s="1"/>
      <c r="E720" s="3"/>
      <c r="G720" s="63"/>
      <c r="H720" s="63"/>
      <c r="I720" s="1"/>
      <c r="J720" s="1"/>
      <c r="K720" s="1"/>
    </row>
    <row r="721" spans="1:11" s="144" customFormat="1" ht="13.5">
      <c r="A721" s="1"/>
      <c r="B721" s="68"/>
      <c r="C721" s="68"/>
      <c r="D721" s="1"/>
      <c r="E721" s="3"/>
      <c r="G721" s="63"/>
      <c r="H721" s="63"/>
      <c r="I721" s="1"/>
      <c r="J721" s="1"/>
      <c r="K721" s="1"/>
    </row>
    <row r="722" spans="1:11" s="144" customFormat="1" ht="13.5">
      <c r="A722" s="1"/>
      <c r="B722" s="68"/>
      <c r="C722" s="68"/>
      <c r="D722" s="1"/>
      <c r="E722" s="3"/>
      <c r="G722" s="63"/>
      <c r="H722" s="63"/>
      <c r="I722" s="1"/>
      <c r="J722" s="1"/>
      <c r="K722" s="1"/>
    </row>
    <row r="723" spans="1:11" s="144" customFormat="1" ht="13.5">
      <c r="A723" s="1"/>
      <c r="B723" s="68"/>
      <c r="C723" s="68"/>
      <c r="D723" s="1"/>
      <c r="E723" s="3"/>
      <c r="G723" s="63"/>
      <c r="H723" s="63"/>
      <c r="I723" s="1"/>
      <c r="J723" s="1"/>
      <c r="K723" s="1"/>
    </row>
    <row r="724" spans="1:11" s="144" customFormat="1" ht="13.5">
      <c r="A724" s="1"/>
      <c r="B724" s="68"/>
      <c r="C724" s="68"/>
      <c r="D724" s="1"/>
      <c r="E724" s="3"/>
      <c r="G724" s="63"/>
      <c r="H724" s="63"/>
      <c r="I724" s="1"/>
      <c r="J724" s="1"/>
      <c r="K724" s="1"/>
    </row>
    <row r="725" spans="1:11" s="144" customFormat="1" ht="13.5">
      <c r="A725" s="1"/>
      <c r="B725" s="68"/>
      <c r="C725" s="68"/>
      <c r="D725" s="1"/>
      <c r="E725" s="3"/>
      <c r="G725" s="63"/>
      <c r="H725" s="63"/>
      <c r="I725" s="1"/>
      <c r="J725" s="1"/>
      <c r="K725" s="1"/>
    </row>
    <row r="726" spans="1:11" s="144" customFormat="1" ht="13.5">
      <c r="A726" s="1"/>
      <c r="B726" s="68"/>
      <c r="C726" s="68"/>
      <c r="D726" s="1"/>
      <c r="E726" s="3"/>
      <c r="G726" s="63"/>
      <c r="H726" s="63"/>
      <c r="I726" s="1"/>
      <c r="J726" s="1"/>
      <c r="K726" s="1"/>
    </row>
    <row r="727" spans="1:11" s="144" customFormat="1" ht="13.5">
      <c r="A727" s="1"/>
      <c r="B727" s="68"/>
      <c r="C727" s="68"/>
      <c r="D727" s="1"/>
      <c r="E727" s="3"/>
      <c r="G727" s="63"/>
      <c r="H727" s="63"/>
      <c r="I727" s="1"/>
      <c r="J727" s="1"/>
      <c r="K727" s="1"/>
    </row>
    <row r="728" spans="1:11" s="144" customFormat="1" ht="13.5">
      <c r="A728" s="1"/>
      <c r="B728" s="68"/>
      <c r="C728" s="68"/>
      <c r="D728" s="1"/>
      <c r="E728" s="3"/>
      <c r="G728" s="63"/>
      <c r="H728" s="63"/>
      <c r="I728" s="1"/>
      <c r="J728" s="1"/>
      <c r="K728" s="1"/>
    </row>
    <row r="729" spans="1:11" s="144" customFormat="1" ht="13.5">
      <c r="A729" s="1"/>
      <c r="B729" s="68"/>
      <c r="C729" s="68"/>
      <c r="D729" s="1"/>
      <c r="E729" s="3"/>
      <c r="G729" s="63"/>
      <c r="H729" s="63"/>
      <c r="I729" s="1"/>
      <c r="J729" s="1"/>
      <c r="K729" s="1"/>
    </row>
    <row r="730" spans="1:11" s="144" customFormat="1" ht="13.5">
      <c r="A730" s="1"/>
      <c r="B730" s="68"/>
      <c r="C730" s="68"/>
      <c r="D730" s="1"/>
      <c r="E730" s="3"/>
      <c r="G730" s="63"/>
      <c r="H730" s="63"/>
      <c r="I730" s="1"/>
      <c r="J730" s="1"/>
      <c r="K730" s="1"/>
    </row>
    <row r="731" spans="1:11" s="144" customFormat="1" ht="13.5">
      <c r="A731" s="1"/>
      <c r="B731" s="68"/>
      <c r="C731" s="68"/>
      <c r="D731" s="1"/>
      <c r="E731" s="3"/>
      <c r="G731" s="63"/>
      <c r="H731" s="63"/>
      <c r="I731" s="1"/>
      <c r="J731" s="1"/>
      <c r="K731" s="1"/>
    </row>
    <row r="732" spans="1:11" s="144" customFormat="1" ht="13.5">
      <c r="A732" s="1"/>
      <c r="B732" s="68"/>
      <c r="C732" s="68"/>
      <c r="D732" s="1"/>
      <c r="E732" s="3"/>
      <c r="G732" s="63"/>
      <c r="H732" s="63"/>
      <c r="I732" s="1"/>
      <c r="J732" s="1"/>
      <c r="K732" s="1"/>
    </row>
    <row r="733" spans="1:11" s="144" customFormat="1" ht="13.5">
      <c r="A733" s="1"/>
      <c r="B733" s="68"/>
      <c r="C733" s="68"/>
      <c r="D733" s="1"/>
      <c r="E733" s="3"/>
      <c r="G733" s="63"/>
      <c r="H733" s="63"/>
      <c r="I733" s="1"/>
      <c r="J733" s="1"/>
      <c r="K733" s="1"/>
    </row>
    <row r="734" spans="1:11" s="144" customFormat="1" ht="13.5">
      <c r="A734" s="1"/>
      <c r="B734" s="68"/>
      <c r="C734" s="68"/>
      <c r="D734" s="1"/>
      <c r="E734" s="3"/>
      <c r="G734" s="63"/>
      <c r="H734" s="63"/>
      <c r="I734" s="1"/>
      <c r="J734" s="1"/>
      <c r="K734" s="1"/>
    </row>
    <row r="735" spans="1:11" s="144" customFormat="1" ht="13.5">
      <c r="A735" s="1"/>
      <c r="B735" s="68"/>
      <c r="C735" s="68"/>
      <c r="D735" s="1"/>
      <c r="E735" s="3"/>
      <c r="G735" s="63"/>
      <c r="H735" s="63"/>
      <c r="I735" s="1"/>
      <c r="J735" s="1"/>
      <c r="K735" s="1"/>
    </row>
    <row r="736" spans="1:11" s="144" customFormat="1" ht="13.5">
      <c r="A736" s="1"/>
      <c r="B736" s="68"/>
      <c r="C736" s="68"/>
      <c r="D736" s="1"/>
      <c r="E736" s="3"/>
      <c r="G736" s="63"/>
      <c r="H736" s="63"/>
      <c r="I736" s="1"/>
      <c r="J736" s="1"/>
      <c r="K736" s="1"/>
    </row>
    <row r="737" spans="1:11" s="144" customFormat="1" ht="13.5">
      <c r="A737" s="1"/>
      <c r="B737" s="68"/>
      <c r="C737" s="68"/>
      <c r="D737" s="1"/>
      <c r="E737" s="3"/>
      <c r="G737" s="63"/>
      <c r="H737" s="63"/>
      <c r="I737" s="1"/>
      <c r="J737" s="1"/>
      <c r="K737" s="1"/>
    </row>
    <row r="738" spans="1:11" s="144" customFormat="1" ht="13.5">
      <c r="A738" s="1"/>
      <c r="B738" s="68"/>
      <c r="C738" s="68"/>
      <c r="D738" s="1"/>
      <c r="E738" s="3"/>
      <c r="G738" s="63"/>
      <c r="H738" s="63"/>
      <c r="I738" s="1"/>
      <c r="J738" s="1"/>
      <c r="K738" s="1"/>
    </row>
    <row r="739" spans="1:11" s="144" customFormat="1" ht="13.5">
      <c r="A739" s="1"/>
      <c r="B739" s="68"/>
      <c r="C739" s="68"/>
      <c r="D739" s="1"/>
      <c r="E739" s="3"/>
      <c r="G739" s="63"/>
      <c r="H739" s="63"/>
      <c r="I739" s="1"/>
      <c r="J739" s="1"/>
      <c r="K739" s="1"/>
    </row>
    <row r="740" spans="1:11" s="144" customFormat="1" ht="13.5">
      <c r="A740" s="1"/>
      <c r="B740" s="68"/>
      <c r="C740" s="68"/>
      <c r="D740" s="1"/>
      <c r="E740" s="3"/>
      <c r="G740" s="63"/>
      <c r="H740" s="63"/>
      <c r="I740" s="1"/>
      <c r="J740" s="1"/>
      <c r="K740" s="1"/>
    </row>
    <row r="741" spans="1:11" s="144" customFormat="1" ht="13.5">
      <c r="A741" s="1"/>
      <c r="B741" s="68"/>
      <c r="C741" s="68"/>
      <c r="D741" s="1"/>
      <c r="E741" s="3"/>
      <c r="G741" s="63"/>
      <c r="H741" s="63"/>
      <c r="I741" s="1"/>
      <c r="J741" s="1"/>
      <c r="K741" s="1"/>
    </row>
    <row r="742" spans="1:11" s="144" customFormat="1" ht="13.5">
      <c r="A742" s="1"/>
      <c r="B742" s="68"/>
      <c r="C742" s="68"/>
      <c r="D742" s="1"/>
      <c r="E742" s="3"/>
      <c r="G742" s="63"/>
      <c r="H742" s="63"/>
      <c r="I742" s="1"/>
      <c r="J742" s="1"/>
      <c r="K742" s="1"/>
    </row>
    <row r="743" spans="1:11" s="144" customFormat="1" ht="13.5">
      <c r="A743" s="1"/>
      <c r="B743" s="68"/>
      <c r="C743" s="68"/>
      <c r="D743" s="1"/>
      <c r="E743" s="3"/>
      <c r="G743" s="63"/>
      <c r="H743" s="63"/>
      <c r="I743" s="1"/>
      <c r="J743" s="1"/>
      <c r="K743" s="1"/>
    </row>
    <row r="744" spans="1:11" s="144" customFormat="1" ht="13.5">
      <c r="A744" s="1"/>
      <c r="B744" s="68"/>
      <c r="C744" s="68"/>
      <c r="D744" s="1"/>
      <c r="E744" s="3"/>
      <c r="G744" s="63"/>
      <c r="H744" s="63"/>
      <c r="I744" s="1"/>
      <c r="J744" s="1"/>
      <c r="K744" s="1"/>
    </row>
    <row r="745" spans="1:11" s="144" customFormat="1" ht="13.5">
      <c r="A745" s="1"/>
      <c r="B745" s="68"/>
      <c r="C745" s="68"/>
      <c r="D745" s="1"/>
      <c r="E745" s="3"/>
      <c r="G745" s="63"/>
      <c r="H745" s="63"/>
      <c r="I745" s="1"/>
      <c r="J745" s="1"/>
      <c r="K745" s="1"/>
    </row>
    <row r="746" spans="1:11" s="144" customFormat="1" ht="13.5">
      <c r="A746" s="1"/>
      <c r="B746" s="68"/>
      <c r="C746" s="68"/>
      <c r="D746" s="1"/>
      <c r="E746" s="3"/>
      <c r="G746" s="63"/>
      <c r="H746" s="63"/>
      <c r="I746" s="1"/>
      <c r="J746" s="1"/>
      <c r="K746" s="1"/>
    </row>
    <row r="747" spans="1:11" s="144" customFormat="1" ht="13.5">
      <c r="A747" s="1"/>
      <c r="B747" s="68"/>
      <c r="C747" s="68"/>
      <c r="D747" s="1"/>
      <c r="E747" s="3"/>
      <c r="G747" s="63"/>
      <c r="H747" s="63"/>
      <c r="I747" s="1"/>
      <c r="J747" s="1"/>
      <c r="K747" s="1"/>
    </row>
    <row r="748" spans="1:11" s="144" customFormat="1" ht="13.5">
      <c r="A748" s="1"/>
      <c r="B748" s="68"/>
      <c r="C748" s="68"/>
      <c r="D748" s="1"/>
      <c r="E748" s="3"/>
      <c r="G748" s="63"/>
      <c r="H748" s="63"/>
      <c r="I748" s="1"/>
      <c r="J748" s="1"/>
      <c r="K748" s="1"/>
    </row>
    <row r="749" spans="1:11" s="144" customFormat="1" ht="13.5">
      <c r="A749" s="1"/>
      <c r="B749" s="68"/>
      <c r="C749" s="68"/>
      <c r="D749" s="1"/>
      <c r="E749" s="3"/>
      <c r="G749" s="63"/>
      <c r="H749" s="63"/>
      <c r="I749" s="1"/>
      <c r="J749" s="1"/>
      <c r="K749" s="1"/>
    </row>
    <row r="750" spans="1:11" s="144" customFormat="1" ht="13.5">
      <c r="A750" s="1"/>
      <c r="B750" s="68"/>
      <c r="C750" s="68"/>
      <c r="D750" s="1"/>
      <c r="E750" s="3"/>
      <c r="G750" s="63"/>
      <c r="H750" s="63"/>
      <c r="I750" s="1"/>
      <c r="J750" s="1"/>
      <c r="K750" s="1"/>
    </row>
    <row r="751" spans="1:11" s="144" customFormat="1" ht="13.5">
      <c r="A751" s="1"/>
      <c r="B751" s="68"/>
      <c r="C751" s="68"/>
      <c r="D751" s="1"/>
      <c r="E751" s="3"/>
      <c r="G751" s="63"/>
      <c r="H751" s="63"/>
      <c r="I751" s="1"/>
      <c r="J751" s="1"/>
      <c r="K751" s="1"/>
    </row>
    <row r="752" spans="1:11" s="144" customFormat="1" ht="13.5">
      <c r="A752" s="1"/>
      <c r="B752" s="68"/>
      <c r="C752" s="68"/>
      <c r="D752" s="1"/>
      <c r="E752" s="3"/>
      <c r="G752" s="63"/>
      <c r="H752" s="63"/>
      <c r="I752" s="1"/>
      <c r="J752" s="1"/>
      <c r="K752" s="1"/>
    </row>
    <row r="753" spans="1:11" s="144" customFormat="1" ht="13.5">
      <c r="A753" s="1"/>
      <c r="B753" s="68"/>
      <c r="C753" s="68"/>
      <c r="D753" s="1"/>
      <c r="E753" s="3"/>
      <c r="G753" s="63"/>
      <c r="H753" s="63"/>
      <c r="I753" s="1"/>
      <c r="J753" s="1"/>
      <c r="K753" s="1"/>
    </row>
    <row r="754" spans="1:11" s="144" customFormat="1" ht="13.5">
      <c r="A754" s="1"/>
      <c r="B754" s="68"/>
      <c r="C754" s="68"/>
      <c r="D754" s="1"/>
      <c r="E754" s="3"/>
      <c r="G754" s="63"/>
      <c r="H754" s="63"/>
      <c r="I754" s="1"/>
      <c r="J754" s="1"/>
      <c r="K754" s="1"/>
    </row>
    <row r="755" spans="1:11" s="144" customFormat="1" ht="13.5">
      <c r="A755" s="1"/>
      <c r="B755" s="68"/>
      <c r="C755" s="68"/>
      <c r="D755" s="1"/>
      <c r="E755" s="3"/>
      <c r="G755" s="63"/>
      <c r="H755" s="63"/>
      <c r="I755" s="1"/>
      <c r="J755" s="1"/>
      <c r="K755" s="1"/>
    </row>
    <row r="756" spans="1:11" s="144" customFormat="1" ht="13.5">
      <c r="A756" s="1"/>
      <c r="B756" s="68"/>
      <c r="C756" s="68"/>
      <c r="D756" s="1"/>
      <c r="E756" s="3"/>
      <c r="G756" s="63"/>
      <c r="H756" s="63"/>
      <c r="I756" s="1"/>
      <c r="J756" s="1"/>
      <c r="K756" s="1"/>
    </row>
    <row r="757" spans="1:11" s="144" customFormat="1" ht="13.5">
      <c r="A757" s="1"/>
      <c r="B757" s="68"/>
      <c r="C757" s="68"/>
      <c r="D757" s="1"/>
      <c r="E757" s="3"/>
      <c r="G757" s="63"/>
      <c r="H757" s="63"/>
      <c r="I757" s="1"/>
      <c r="J757" s="1"/>
      <c r="K757" s="1"/>
    </row>
    <row r="758" spans="1:11" s="144" customFormat="1" ht="13.5">
      <c r="A758" s="1"/>
      <c r="B758" s="68"/>
      <c r="C758" s="68"/>
      <c r="D758" s="1"/>
      <c r="E758" s="3"/>
      <c r="G758" s="63"/>
      <c r="H758" s="63"/>
      <c r="I758" s="1"/>
      <c r="J758" s="1"/>
      <c r="K758" s="1"/>
    </row>
    <row r="759" spans="1:11" s="144" customFormat="1" ht="13.5">
      <c r="A759" s="1"/>
      <c r="B759" s="68"/>
      <c r="C759" s="68"/>
      <c r="D759" s="1"/>
      <c r="E759" s="3"/>
      <c r="G759" s="63"/>
      <c r="H759" s="63"/>
      <c r="I759" s="1"/>
      <c r="J759" s="1"/>
      <c r="K759" s="1"/>
    </row>
    <row r="760" spans="1:11" s="144" customFormat="1" ht="13.5">
      <c r="A760" s="1"/>
      <c r="B760" s="68"/>
      <c r="C760" s="68"/>
      <c r="D760" s="1"/>
      <c r="E760" s="3"/>
      <c r="G760" s="63"/>
      <c r="H760" s="63"/>
      <c r="I760" s="1"/>
      <c r="J760" s="1"/>
      <c r="K760" s="1"/>
    </row>
    <row r="761" spans="1:11" s="144" customFormat="1" ht="13.5">
      <c r="A761" s="1"/>
      <c r="B761" s="68"/>
      <c r="C761" s="68"/>
      <c r="D761" s="1"/>
      <c r="E761" s="3"/>
      <c r="G761" s="63"/>
      <c r="H761" s="63"/>
      <c r="I761" s="1"/>
      <c r="J761" s="1"/>
      <c r="K761" s="1"/>
    </row>
    <row r="762" spans="1:11" s="144" customFormat="1" ht="13.5">
      <c r="A762" s="1"/>
      <c r="B762" s="68"/>
      <c r="C762" s="68"/>
      <c r="D762" s="1"/>
      <c r="E762" s="3"/>
      <c r="G762" s="63"/>
      <c r="H762" s="63"/>
      <c r="I762" s="1"/>
      <c r="J762" s="1"/>
      <c r="K762" s="1"/>
    </row>
    <row r="763" spans="1:11" s="144" customFormat="1" ht="13.5">
      <c r="A763" s="1"/>
      <c r="B763" s="68"/>
      <c r="C763" s="68"/>
      <c r="D763" s="1"/>
      <c r="E763" s="3"/>
      <c r="G763" s="63"/>
      <c r="H763" s="63"/>
      <c r="I763" s="1"/>
      <c r="J763" s="1"/>
      <c r="K763" s="1"/>
    </row>
    <row r="764" spans="1:11" s="144" customFormat="1" ht="13.5">
      <c r="A764" s="1"/>
      <c r="B764" s="68"/>
      <c r="C764" s="68"/>
      <c r="D764" s="1"/>
      <c r="E764" s="3"/>
      <c r="G764" s="63"/>
      <c r="H764" s="63"/>
      <c r="I764" s="1"/>
      <c r="J764" s="1"/>
      <c r="K764" s="1"/>
    </row>
    <row r="765" spans="1:11" s="144" customFormat="1" ht="13.5">
      <c r="A765" s="1"/>
      <c r="B765" s="68"/>
      <c r="C765" s="68"/>
      <c r="D765" s="1"/>
      <c r="E765" s="3"/>
      <c r="G765" s="63"/>
      <c r="H765" s="63"/>
      <c r="I765" s="1"/>
      <c r="J765" s="1"/>
      <c r="K765" s="1"/>
    </row>
    <row r="766" spans="1:11" s="144" customFormat="1" ht="13.5">
      <c r="A766" s="1"/>
      <c r="B766" s="68"/>
      <c r="C766" s="68"/>
      <c r="D766" s="1"/>
      <c r="E766" s="3"/>
      <c r="G766" s="63"/>
      <c r="H766" s="63"/>
      <c r="I766" s="1"/>
      <c r="J766" s="1"/>
      <c r="K766" s="1"/>
    </row>
    <row r="767" spans="1:11" s="144" customFormat="1" ht="13.5">
      <c r="A767" s="1"/>
      <c r="B767" s="68"/>
      <c r="C767" s="68"/>
      <c r="D767" s="1"/>
      <c r="E767" s="3"/>
      <c r="G767" s="63"/>
      <c r="H767" s="63"/>
      <c r="I767" s="1"/>
      <c r="J767" s="1"/>
      <c r="K767" s="1"/>
    </row>
    <row r="768" spans="1:11" s="144" customFormat="1" ht="13.5">
      <c r="A768" s="1"/>
      <c r="B768" s="68"/>
      <c r="C768" s="68"/>
      <c r="D768" s="1"/>
      <c r="E768" s="3"/>
      <c r="G768" s="63"/>
      <c r="H768" s="63"/>
      <c r="I768" s="1"/>
      <c r="J768" s="1"/>
      <c r="K768" s="1"/>
    </row>
    <row r="769" spans="1:11" s="144" customFormat="1" ht="13.5">
      <c r="A769" s="1"/>
      <c r="B769" s="68"/>
      <c r="C769" s="68"/>
      <c r="D769" s="1"/>
      <c r="E769" s="3"/>
      <c r="G769" s="63"/>
      <c r="H769" s="63"/>
      <c r="I769" s="1"/>
      <c r="J769" s="1"/>
      <c r="K769" s="1"/>
    </row>
    <row r="770" spans="1:11" s="144" customFormat="1" ht="13.5">
      <c r="A770" s="1"/>
      <c r="B770" s="68"/>
      <c r="C770" s="68"/>
      <c r="D770" s="1"/>
      <c r="E770" s="3"/>
      <c r="G770" s="63"/>
      <c r="H770" s="63"/>
      <c r="I770" s="1"/>
      <c r="J770" s="1"/>
      <c r="K770" s="1"/>
    </row>
    <row r="771" spans="1:11" s="144" customFormat="1" ht="13.5">
      <c r="A771" s="1"/>
      <c r="B771" s="68"/>
      <c r="C771" s="68"/>
      <c r="D771" s="1"/>
      <c r="E771" s="3"/>
      <c r="G771" s="63"/>
      <c r="H771" s="63"/>
      <c r="I771" s="1"/>
      <c r="J771" s="1"/>
      <c r="K771" s="1"/>
    </row>
    <row r="772" spans="1:11" s="144" customFormat="1" ht="13.5">
      <c r="A772" s="1"/>
      <c r="B772" s="68"/>
      <c r="C772" s="68"/>
      <c r="D772" s="1"/>
      <c r="E772" s="3"/>
      <c r="G772" s="63"/>
      <c r="H772" s="63"/>
      <c r="I772" s="1"/>
      <c r="J772" s="1"/>
      <c r="K772" s="1"/>
    </row>
    <row r="773" spans="1:11" s="144" customFormat="1" ht="13.5">
      <c r="A773" s="1"/>
      <c r="B773" s="68"/>
      <c r="C773" s="68"/>
      <c r="D773" s="1"/>
      <c r="E773" s="3"/>
      <c r="G773" s="63"/>
      <c r="H773" s="63"/>
      <c r="I773" s="1"/>
      <c r="J773" s="1"/>
      <c r="K773" s="1"/>
    </row>
    <row r="774" spans="1:11" s="144" customFormat="1" ht="13.5">
      <c r="A774" s="1"/>
      <c r="B774" s="68"/>
      <c r="C774" s="68"/>
      <c r="D774" s="1"/>
      <c r="E774" s="3"/>
      <c r="G774" s="63"/>
      <c r="H774" s="63"/>
      <c r="I774" s="1"/>
      <c r="J774" s="1"/>
      <c r="K774" s="1"/>
    </row>
    <row r="775" spans="1:11" s="144" customFormat="1" ht="13.5">
      <c r="A775" s="1"/>
      <c r="B775" s="68"/>
      <c r="C775" s="68"/>
      <c r="D775" s="1"/>
      <c r="E775" s="3"/>
      <c r="G775" s="63"/>
      <c r="H775" s="63"/>
      <c r="I775" s="1"/>
      <c r="J775" s="1"/>
      <c r="K775" s="1"/>
    </row>
    <row r="776" spans="1:11" s="144" customFormat="1" ht="13.5">
      <c r="A776" s="1"/>
      <c r="B776" s="68"/>
      <c r="C776" s="68"/>
      <c r="D776" s="1"/>
      <c r="E776" s="3"/>
      <c r="G776" s="63"/>
      <c r="H776" s="63"/>
      <c r="I776" s="1"/>
      <c r="J776" s="1"/>
      <c r="K776" s="1"/>
    </row>
    <row r="777" spans="1:11" s="144" customFormat="1" ht="13.5">
      <c r="A777" s="1"/>
      <c r="B777" s="68"/>
      <c r="C777" s="68"/>
      <c r="D777" s="1"/>
      <c r="E777" s="3"/>
      <c r="G777" s="63"/>
      <c r="H777" s="63"/>
      <c r="I777" s="1"/>
      <c r="J777" s="1"/>
      <c r="K777" s="1"/>
    </row>
    <row r="778" spans="1:11" s="144" customFormat="1" ht="13.5">
      <c r="A778" s="1"/>
      <c r="B778" s="68"/>
      <c r="C778" s="68"/>
      <c r="D778" s="1"/>
      <c r="E778" s="3"/>
      <c r="G778" s="63"/>
      <c r="H778" s="63"/>
      <c r="I778" s="1"/>
      <c r="J778" s="1"/>
      <c r="K778" s="1"/>
    </row>
    <row r="779" spans="1:11" s="144" customFormat="1" ht="13.5">
      <c r="A779" s="1"/>
      <c r="B779" s="68"/>
      <c r="C779" s="68"/>
      <c r="D779" s="1"/>
      <c r="E779" s="3"/>
      <c r="G779" s="63"/>
      <c r="H779" s="63"/>
      <c r="I779" s="1"/>
      <c r="J779" s="1"/>
      <c r="K779" s="1"/>
    </row>
    <row r="780" spans="1:11" s="144" customFormat="1" ht="13.5">
      <c r="A780" s="1"/>
      <c r="B780" s="68"/>
      <c r="C780" s="68"/>
      <c r="D780" s="1"/>
      <c r="E780" s="3"/>
      <c r="G780" s="63"/>
      <c r="H780" s="63"/>
      <c r="I780" s="1"/>
      <c r="J780" s="1"/>
      <c r="K780" s="1"/>
    </row>
    <row r="781" spans="1:11" s="144" customFormat="1" ht="13.5">
      <c r="A781" s="1"/>
      <c r="B781" s="68"/>
      <c r="C781" s="68"/>
      <c r="D781" s="1"/>
      <c r="E781" s="3"/>
      <c r="G781" s="63"/>
      <c r="H781" s="63"/>
      <c r="I781" s="1"/>
      <c r="J781" s="1"/>
      <c r="K781" s="1"/>
    </row>
    <row r="782" spans="1:11" s="144" customFormat="1" ht="13.5">
      <c r="A782" s="1"/>
      <c r="B782" s="68"/>
      <c r="C782" s="68"/>
      <c r="D782" s="1"/>
      <c r="E782" s="3"/>
      <c r="G782" s="63"/>
      <c r="H782" s="63"/>
      <c r="I782" s="1"/>
      <c r="J782" s="1"/>
      <c r="K782" s="1"/>
    </row>
    <row r="783" spans="1:11" s="144" customFormat="1" ht="13.5">
      <c r="A783" s="1"/>
      <c r="B783" s="68"/>
      <c r="C783" s="68"/>
      <c r="D783" s="1"/>
      <c r="E783" s="3"/>
      <c r="G783" s="63"/>
      <c r="H783" s="63"/>
      <c r="I783" s="1"/>
      <c r="J783" s="1"/>
      <c r="K783" s="1"/>
    </row>
    <row r="784" spans="1:11" s="144" customFormat="1" ht="13.5">
      <c r="A784" s="1"/>
      <c r="B784" s="68"/>
      <c r="C784" s="68"/>
      <c r="D784" s="1"/>
      <c r="E784" s="3"/>
      <c r="G784" s="63"/>
      <c r="H784" s="63"/>
      <c r="I784" s="1"/>
      <c r="J784" s="1"/>
      <c r="K784" s="1"/>
    </row>
    <row r="785" spans="1:11" s="144" customFormat="1" ht="13.5">
      <c r="A785" s="1"/>
      <c r="B785" s="68"/>
      <c r="C785" s="68"/>
      <c r="D785" s="1"/>
      <c r="E785" s="3"/>
      <c r="G785" s="63"/>
      <c r="H785" s="63"/>
      <c r="I785" s="1"/>
      <c r="J785" s="1"/>
      <c r="K785" s="1"/>
    </row>
    <row r="786" spans="1:11" s="144" customFormat="1" ht="13.5">
      <c r="A786" s="1"/>
      <c r="B786" s="68"/>
      <c r="C786" s="68"/>
      <c r="D786" s="1"/>
      <c r="E786" s="3"/>
      <c r="G786" s="63"/>
      <c r="H786" s="63"/>
      <c r="I786" s="1"/>
      <c r="J786" s="1"/>
      <c r="K786" s="1"/>
    </row>
    <row r="787" spans="1:11" s="144" customFormat="1" ht="13.5">
      <c r="A787" s="1"/>
      <c r="B787" s="68"/>
      <c r="C787" s="68"/>
      <c r="D787" s="1"/>
      <c r="E787" s="3"/>
      <c r="G787" s="63"/>
      <c r="H787" s="63"/>
      <c r="I787" s="1"/>
      <c r="J787" s="1"/>
      <c r="K787" s="1"/>
    </row>
    <row r="788" spans="1:11" s="144" customFormat="1" ht="13.5">
      <c r="A788" s="1"/>
      <c r="B788" s="68"/>
      <c r="C788" s="68"/>
      <c r="D788" s="1"/>
      <c r="E788" s="3"/>
      <c r="G788" s="63"/>
      <c r="H788" s="63"/>
      <c r="I788" s="1"/>
      <c r="J788" s="1"/>
      <c r="K788" s="1"/>
    </row>
    <row r="789" spans="1:11" s="144" customFormat="1" ht="13.5">
      <c r="A789" s="1"/>
      <c r="B789" s="68"/>
      <c r="C789" s="68"/>
      <c r="D789" s="1"/>
      <c r="E789" s="3"/>
      <c r="G789" s="63"/>
      <c r="H789" s="63"/>
      <c r="I789" s="1"/>
      <c r="J789" s="1"/>
      <c r="K789" s="1"/>
    </row>
    <row r="790" spans="1:11" s="144" customFormat="1" ht="13.5">
      <c r="A790" s="1"/>
      <c r="B790" s="68"/>
      <c r="C790" s="68"/>
      <c r="D790" s="1"/>
      <c r="E790" s="3"/>
      <c r="G790" s="63"/>
      <c r="H790" s="63"/>
      <c r="I790" s="1"/>
      <c r="J790" s="1"/>
      <c r="K790" s="1"/>
    </row>
    <row r="791" spans="1:11" s="144" customFormat="1" ht="13.5">
      <c r="A791" s="1"/>
      <c r="B791" s="68"/>
      <c r="C791" s="68"/>
      <c r="D791" s="1"/>
      <c r="E791" s="3"/>
      <c r="G791" s="63"/>
      <c r="H791" s="63"/>
      <c r="I791" s="1"/>
      <c r="J791" s="1"/>
      <c r="K791" s="1"/>
    </row>
    <row r="792" spans="1:11" s="144" customFormat="1" ht="13.5">
      <c r="A792" s="1"/>
      <c r="B792" s="68"/>
      <c r="C792" s="68"/>
      <c r="D792" s="1"/>
      <c r="E792" s="3"/>
      <c r="G792" s="63"/>
      <c r="H792" s="63"/>
      <c r="I792" s="1"/>
      <c r="J792" s="1"/>
      <c r="K792" s="1"/>
    </row>
    <row r="793" spans="1:11" s="144" customFormat="1" ht="13.5">
      <c r="A793" s="1"/>
      <c r="B793" s="68"/>
      <c r="C793" s="68"/>
      <c r="D793" s="1"/>
      <c r="E793" s="3"/>
      <c r="G793" s="63"/>
      <c r="H793" s="63"/>
      <c r="I793" s="1"/>
      <c r="J793" s="1"/>
      <c r="K793" s="1"/>
    </row>
    <row r="794" spans="1:11" s="144" customFormat="1" ht="13.5">
      <c r="A794" s="1"/>
      <c r="B794" s="68"/>
      <c r="C794" s="68"/>
      <c r="D794" s="1"/>
      <c r="E794" s="3"/>
      <c r="G794" s="63"/>
      <c r="H794" s="63"/>
      <c r="I794" s="1"/>
      <c r="J794" s="1"/>
      <c r="K794" s="1"/>
    </row>
    <row r="795" spans="1:11" s="144" customFormat="1" ht="13.5">
      <c r="A795" s="1"/>
      <c r="B795" s="68"/>
      <c r="C795" s="68"/>
      <c r="D795" s="1"/>
      <c r="E795" s="3"/>
      <c r="G795" s="63"/>
      <c r="H795" s="63"/>
      <c r="I795" s="1"/>
      <c r="J795" s="1"/>
      <c r="K795" s="1"/>
    </row>
    <row r="796" spans="1:11" s="144" customFormat="1" ht="13.5">
      <c r="A796" s="1"/>
      <c r="B796" s="68"/>
      <c r="C796" s="68"/>
      <c r="D796" s="1"/>
      <c r="E796" s="3"/>
      <c r="G796" s="63"/>
      <c r="H796" s="63"/>
      <c r="I796" s="1"/>
      <c r="J796" s="1"/>
      <c r="K796" s="1"/>
    </row>
    <row r="797" spans="1:11" s="144" customFormat="1" ht="13.5">
      <c r="A797" s="1"/>
      <c r="B797" s="68"/>
      <c r="C797" s="68"/>
      <c r="D797" s="1"/>
      <c r="E797" s="3"/>
      <c r="G797" s="63"/>
      <c r="H797" s="63"/>
      <c r="I797" s="1"/>
      <c r="J797" s="1"/>
      <c r="K797" s="1"/>
    </row>
    <row r="798" spans="1:11" s="144" customFormat="1" ht="13.5">
      <c r="A798" s="1"/>
      <c r="B798" s="68"/>
      <c r="C798" s="68"/>
      <c r="D798" s="1"/>
      <c r="E798" s="3"/>
      <c r="G798" s="63"/>
      <c r="H798" s="63"/>
      <c r="I798" s="1"/>
      <c r="J798" s="1"/>
      <c r="K798" s="1"/>
    </row>
    <row r="799" spans="1:11" s="144" customFormat="1" ht="13.5">
      <c r="A799" s="1"/>
      <c r="B799" s="68"/>
      <c r="C799" s="68"/>
      <c r="D799" s="1"/>
      <c r="E799" s="3"/>
      <c r="G799" s="63"/>
      <c r="H799" s="63"/>
      <c r="I799" s="1"/>
      <c r="J799" s="1"/>
      <c r="K799" s="1"/>
    </row>
    <row r="800" spans="1:11" s="144" customFormat="1" ht="13.5">
      <c r="A800" s="1"/>
      <c r="B800" s="68"/>
      <c r="C800" s="68"/>
      <c r="D800" s="1"/>
      <c r="E800" s="3"/>
      <c r="G800" s="63"/>
      <c r="H800" s="63"/>
      <c r="I800" s="1"/>
      <c r="J800" s="1"/>
      <c r="K800" s="1"/>
    </row>
    <row r="801" spans="1:11" s="144" customFormat="1" ht="13.5">
      <c r="A801" s="1"/>
      <c r="B801" s="68"/>
      <c r="C801" s="68"/>
      <c r="D801" s="1"/>
      <c r="E801" s="3"/>
      <c r="G801" s="63"/>
      <c r="H801" s="63"/>
      <c r="I801" s="1"/>
      <c r="J801" s="1"/>
      <c r="K801" s="1"/>
    </row>
    <row r="802" spans="1:11" s="144" customFormat="1" ht="13.5">
      <c r="A802" s="1"/>
      <c r="B802" s="68"/>
      <c r="C802" s="68"/>
      <c r="D802" s="1"/>
      <c r="E802" s="3"/>
      <c r="G802" s="63"/>
      <c r="H802" s="63"/>
      <c r="I802" s="1"/>
      <c r="J802" s="1"/>
      <c r="K802" s="1"/>
    </row>
    <row r="803" spans="1:11" s="144" customFormat="1" ht="13.5">
      <c r="A803" s="1"/>
      <c r="B803" s="68"/>
      <c r="C803" s="68"/>
      <c r="D803" s="1"/>
      <c r="E803" s="3"/>
      <c r="G803" s="63"/>
      <c r="H803" s="63"/>
      <c r="I803" s="1"/>
      <c r="J803" s="1"/>
      <c r="K803" s="1"/>
    </row>
    <row r="804" spans="1:11" s="144" customFormat="1" ht="13.5">
      <c r="A804" s="1"/>
      <c r="B804" s="68"/>
      <c r="C804" s="68"/>
      <c r="D804" s="1"/>
      <c r="E804" s="3"/>
      <c r="G804" s="63"/>
      <c r="H804" s="63"/>
      <c r="I804" s="1"/>
      <c r="J804" s="1"/>
      <c r="K804" s="1"/>
    </row>
    <row r="805" spans="1:11" s="144" customFormat="1" ht="13.5">
      <c r="A805" s="1"/>
      <c r="B805" s="68"/>
      <c r="C805" s="68"/>
      <c r="D805" s="1"/>
      <c r="E805" s="3"/>
      <c r="G805" s="63"/>
      <c r="H805" s="63"/>
      <c r="I805" s="1"/>
      <c r="J805" s="1"/>
      <c r="K805" s="1"/>
    </row>
    <row r="806" spans="1:11" s="144" customFormat="1" ht="13.5">
      <c r="A806" s="1"/>
      <c r="B806" s="68"/>
      <c r="C806" s="68"/>
      <c r="D806" s="1"/>
      <c r="E806" s="3"/>
      <c r="G806" s="63"/>
      <c r="H806" s="63"/>
      <c r="I806" s="1"/>
      <c r="J806" s="1"/>
      <c r="K806" s="1"/>
    </row>
    <row r="807" spans="1:11" s="144" customFormat="1" ht="13.5">
      <c r="A807" s="1"/>
      <c r="B807" s="68"/>
      <c r="C807" s="68"/>
      <c r="D807" s="1"/>
      <c r="E807" s="3"/>
      <c r="G807" s="63"/>
      <c r="H807" s="63"/>
      <c r="I807" s="1"/>
      <c r="J807" s="1"/>
      <c r="K807" s="1"/>
    </row>
    <row r="808" spans="1:11" s="144" customFormat="1" ht="13.5">
      <c r="A808" s="1"/>
      <c r="B808" s="68"/>
      <c r="C808" s="68"/>
      <c r="D808" s="1"/>
      <c r="E808" s="3"/>
      <c r="G808" s="63"/>
      <c r="H808" s="63"/>
      <c r="I808" s="1"/>
      <c r="J808" s="1"/>
      <c r="K808" s="1"/>
    </row>
    <row r="809" spans="1:11" s="144" customFormat="1" ht="13.5">
      <c r="A809" s="1"/>
      <c r="B809" s="68"/>
      <c r="C809" s="68"/>
      <c r="D809" s="1"/>
      <c r="E809" s="3"/>
      <c r="G809" s="63"/>
      <c r="H809" s="63"/>
      <c r="I809" s="1"/>
      <c r="J809" s="1"/>
      <c r="K809" s="1"/>
    </row>
    <row r="810" spans="1:11" s="144" customFormat="1" ht="13.5">
      <c r="A810" s="1"/>
      <c r="B810" s="68"/>
      <c r="C810" s="68"/>
      <c r="D810" s="1"/>
      <c r="E810" s="3"/>
      <c r="G810" s="63"/>
      <c r="H810" s="63"/>
      <c r="I810" s="1"/>
      <c r="J810" s="1"/>
      <c r="K810" s="1"/>
    </row>
    <row r="811" spans="1:11" s="144" customFormat="1" ht="13.5">
      <c r="A811" s="1"/>
      <c r="B811" s="68"/>
      <c r="C811" s="68"/>
      <c r="D811" s="1"/>
      <c r="E811" s="3"/>
      <c r="G811" s="63"/>
      <c r="H811" s="63"/>
      <c r="I811" s="1"/>
      <c r="J811" s="1"/>
      <c r="K811" s="1"/>
    </row>
    <row r="812" spans="1:11" s="144" customFormat="1" ht="13.5">
      <c r="A812" s="1"/>
      <c r="B812" s="68"/>
      <c r="C812" s="68"/>
      <c r="D812" s="1"/>
      <c r="E812" s="3"/>
      <c r="G812" s="63"/>
      <c r="H812" s="63"/>
      <c r="I812" s="1"/>
      <c r="J812" s="1"/>
      <c r="K812" s="1"/>
    </row>
    <row r="813" spans="1:11" s="144" customFormat="1" ht="13.5">
      <c r="A813" s="1"/>
      <c r="B813" s="68"/>
      <c r="C813" s="68"/>
      <c r="D813" s="1"/>
      <c r="E813" s="3"/>
      <c r="G813" s="63"/>
      <c r="H813" s="63"/>
      <c r="I813" s="1"/>
      <c r="J813" s="1"/>
      <c r="K813" s="1"/>
    </row>
    <row r="814" spans="1:11" s="144" customFormat="1" ht="13.5">
      <c r="A814" s="1"/>
      <c r="B814" s="68"/>
      <c r="C814" s="68"/>
      <c r="D814" s="1"/>
      <c r="E814" s="3"/>
      <c r="G814" s="63"/>
      <c r="H814" s="63"/>
      <c r="I814" s="1"/>
      <c r="J814" s="1"/>
      <c r="K814" s="1"/>
    </row>
    <row r="815" spans="1:11" s="144" customFormat="1" ht="13.5">
      <c r="A815" s="1"/>
      <c r="B815" s="68"/>
      <c r="C815" s="68"/>
      <c r="D815" s="1"/>
      <c r="E815" s="3"/>
      <c r="G815" s="63"/>
      <c r="H815" s="63"/>
      <c r="I815" s="1"/>
      <c r="J815" s="1"/>
      <c r="K815" s="1"/>
    </row>
    <row r="816" spans="1:11" s="144" customFormat="1" ht="13.5">
      <c r="A816" s="1"/>
      <c r="B816" s="68"/>
      <c r="C816" s="68"/>
      <c r="D816" s="1"/>
      <c r="E816" s="3"/>
      <c r="G816" s="63"/>
      <c r="H816" s="63"/>
      <c r="I816" s="1"/>
      <c r="J816" s="1"/>
      <c r="K816" s="1"/>
    </row>
    <row r="817" spans="1:11" s="144" customFormat="1" ht="13.5">
      <c r="A817" s="1"/>
      <c r="B817" s="68"/>
      <c r="C817" s="68"/>
      <c r="D817" s="1"/>
      <c r="E817" s="3"/>
      <c r="G817" s="63"/>
      <c r="H817" s="63"/>
      <c r="I817" s="1"/>
      <c r="J817" s="1"/>
      <c r="K817" s="1"/>
    </row>
    <row r="818" spans="1:11" s="144" customFormat="1" ht="13.5">
      <c r="A818" s="1"/>
      <c r="B818" s="68"/>
      <c r="C818" s="68"/>
      <c r="D818" s="1"/>
      <c r="E818" s="3"/>
      <c r="G818" s="63"/>
      <c r="H818" s="63"/>
      <c r="I818" s="1"/>
      <c r="J818" s="1"/>
      <c r="K818" s="1"/>
    </row>
    <row r="819" spans="1:11" s="144" customFormat="1" ht="13.5">
      <c r="A819" s="1"/>
      <c r="B819" s="68"/>
      <c r="C819" s="68"/>
      <c r="D819" s="1"/>
      <c r="E819" s="3"/>
      <c r="G819" s="63"/>
      <c r="H819" s="63"/>
      <c r="I819" s="1"/>
      <c r="J819" s="1"/>
      <c r="K819" s="1"/>
    </row>
    <row r="820" spans="1:11" s="144" customFormat="1" ht="13.5">
      <c r="A820" s="1"/>
      <c r="B820" s="68"/>
      <c r="C820" s="68"/>
      <c r="D820" s="1"/>
      <c r="E820" s="3"/>
      <c r="G820" s="63"/>
      <c r="H820" s="63"/>
      <c r="I820" s="1"/>
      <c r="J820" s="1"/>
      <c r="K820" s="1"/>
    </row>
    <row r="821" spans="1:11" s="144" customFormat="1" ht="13.5">
      <c r="A821" s="1"/>
      <c r="B821" s="68"/>
      <c r="C821" s="68"/>
      <c r="D821" s="1"/>
      <c r="E821" s="3"/>
      <c r="G821" s="63"/>
      <c r="H821" s="63"/>
      <c r="I821" s="1"/>
      <c r="J821" s="1"/>
      <c r="K821" s="1"/>
    </row>
    <row r="822" spans="1:11" s="144" customFormat="1" ht="13.5">
      <c r="A822" s="1"/>
      <c r="B822" s="68"/>
      <c r="C822" s="68"/>
      <c r="D822" s="1"/>
      <c r="E822" s="3"/>
      <c r="G822" s="63"/>
      <c r="H822" s="63"/>
      <c r="I822" s="1"/>
      <c r="J822" s="1"/>
      <c r="K822" s="1"/>
    </row>
    <row r="823" spans="1:11" s="144" customFormat="1" ht="13.5">
      <c r="A823" s="1"/>
      <c r="B823" s="68"/>
      <c r="C823" s="68"/>
      <c r="D823" s="1"/>
      <c r="E823" s="3"/>
      <c r="G823" s="63"/>
      <c r="H823" s="63"/>
      <c r="I823" s="1"/>
      <c r="J823" s="1"/>
      <c r="K823" s="1"/>
    </row>
    <row r="824" spans="1:11" s="144" customFormat="1" ht="13.5">
      <c r="A824" s="1"/>
      <c r="B824" s="68"/>
      <c r="C824" s="68"/>
      <c r="D824" s="1"/>
      <c r="E824" s="3"/>
      <c r="G824" s="63"/>
      <c r="H824" s="63"/>
      <c r="I824" s="1"/>
      <c r="J824" s="1"/>
      <c r="K824" s="1"/>
    </row>
    <row r="825" spans="1:11" s="144" customFormat="1" ht="13.5">
      <c r="A825" s="1"/>
      <c r="B825" s="68"/>
      <c r="C825" s="68"/>
      <c r="D825" s="1"/>
      <c r="E825" s="3"/>
      <c r="G825" s="63"/>
      <c r="H825" s="63"/>
      <c r="I825" s="1"/>
      <c r="J825" s="1"/>
      <c r="K825" s="1"/>
    </row>
    <row r="826" spans="1:11" s="144" customFormat="1" ht="13.5">
      <c r="A826" s="1"/>
      <c r="B826" s="68"/>
      <c r="C826" s="68"/>
      <c r="D826" s="1"/>
      <c r="E826" s="3"/>
      <c r="G826" s="63"/>
      <c r="H826" s="63"/>
      <c r="I826" s="1"/>
      <c r="J826" s="1"/>
      <c r="K826" s="1"/>
    </row>
    <row r="827" spans="1:11" s="144" customFormat="1" ht="13.5">
      <c r="A827" s="1"/>
      <c r="B827" s="68"/>
      <c r="C827" s="68"/>
      <c r="D827" s="1"/>
      <c r="E827" s="3"/>
      <c r="G827" s="63"/>
      <c r="H827" s="63"/>
      <c r="I827" s="1"/>
      <c r="J827" s="1"/>
      <c r="K827" s="1"/>
    </row>
    <row r="828" spans="1:11" s="144" customFormat="1" ht="13.5">
      <c r="A828" s="1"/>
      <c r="B828" s="68"/>
      <c r="C828" s="68"/>
      <c r="D828" s="1"/>
      <c r="E828" s="3"/>
      <c r="G828" s="63"/>
      <c r="H828" s="63"/>
      <c r="I828" s="1"/>
      <c r="J828" s="1"/>
      <c r="K828" s="1"/>
    </row>
    <row r="829" spans="1:11" s="144" customFormat="1" ht="13.5">
      <c r="A829" s="1"/>
      <c r="B829" s="68"/>
      <c r="C829" s="68"/>
      <c r="D829" s="1"/>
      <c r="E829" s="3"/>
      <c r="G829" s="63"/>
      <c r="H829" s="63"/>
      <c r="I829" s="1"/>
      <c r="J829" s="1"/>
      <c r="K829" s="1"/>
    </row>
    <row r="830" spans="1:11" s="144" customFormat="1" ht="13.5">
      <c r="A830" s="1"/>
      <c r="B830" s="68"/>
      <c r="C830" s="68"/>
      <c r="D830" s="1"/>
      <c r="E830" s="3"/>
      <c r="G830" s="63"/>
      <c r="H830" s="63"/>
      <c r="I830" s="1"/>
      <c r="J830" s="1"/>
      <c r="K830" s="1"/>
    </row>
    <row r="831" spans="1:11" s="144" customFormat="1" ht="13.5">
      <c r="A831" s="1"/>
      <c r="B831" s="68"/>
      <c r="C831" s="68"/>
      <c r="D831" s="1"/>
      <c r="E831" s="3"/>
      <c r="G831" s="63"/>
      <c r="H831" s="63"/>
      <c r="I831" s="1"/>
      <c r="J831" s="1"/>
      <c r="K831" s="1"/>
    </row>
    <row r="832" spans="1:11" s="144" customFormat="1" ht="13.5">
      <c r="A832" s="1"/>
      <c r="B832" s="68"/>
      <c r="C832" s="68"/>
      <c r="D832" s="1"/>
      <c r="E832" s="3"/>
      <c r="G832" s="63"/>
      <c r="H832" s="63"/>
      <c r="I832" s="1"/>
      <c r="J832" s="1"/>
      <c r="K832" s="1"/>
    </row>
    <row r="833" spans="1:11" s="144" customFormat="1" ht="13.5">
      <c r="A833" s="1"/>
      <c r="B833" s="68"/>
      <c r="C833" s="68"/>
      <c r="D833" s="1"/>
      <c r="E833" s="3"/>
      <c r="G833" s="63"/>
      <c r="H833" s="63"/>
      <c r="I833" s="1"/>
      <c r="J833" s="1"/>
      <c r="K833" s="1"/>
    </row>
    <row r="834" spans="1:11" s="144" customFormat="1" ht="13.5">
      <c r="A834" s="1"/>
      <c r="B834" s="68"/>
      <c r="C834" s="68"/>
      <c r="D834" s="1"/>
      <c r="E834" s="3"/>
      <c r="G834" s="63"/>
      <c r="H834" s="63"/>
      <c r="I834" s="1"/>
      <c r="J834" s="1"/>
      <c r="K834" s="1"/>
    </row>
    <row r="835" spans="1:11" s="144" customFormat="1" ht="13.5">
      <c r="A835" s="1"/>
      <c r="B835" s="68"/>
      <c r="C835" s="68"/>
      <c r="D835" s="1"/>
      <c r="E835" s="3"/>
      <c r="G835" s="63"/>
      <c r="H835" s="63"/>
      <c r="I835" s="1"/>
      <c r="J835" s="1"/>
      <c r="K835" s="1"/>
    </row>
    <row r="836" spans="1:11" s="144" customFormat="1" ht="13.5">
      <c r="A836" s="1"/>
      <c r="B836" s="68"/>
      <c r="C836" s="68"/>
      <c r="D836" s="1"/>
      <c r="E836" s="3"/>
      <c r="G836" s="63"/>
      <c r="H836" s="63"/>
      <c r="I836" s="1"/>
      <c r="J836" s="1"/>
      <c r="K836" s="1"/>
    </row>
    <row r="837" spans="1:11" s="144" customFormat="1" ht="13.5">
      <c r="A837" s="1"/>
      <c r="B837" s="68"/>
      <c r="C837" s="68"/>
      <c r="D837" s="1"/>
      <c r="E837" s="3"/>
      <c r="G837" s="63"/>
      <c r="H837" s="63"/>
      <c r="I837" s="1"/>
      <c r="J837" s="1"/>
      <c r="K837" s="1"/>
    </row>
    <row r="838" spans="1:11" s="144" customFormat="1" ht="13.5">
      <c r="A838" s="1"/>
      <c r="B838" s="68"/>
      <c r="C838" s="68"/>
      <c r="D838" s="1"/>
      <c r="E838" s="3"/>
      <c r="G838" s="63"/>
      <c r="H838" s="63"/>
      <c r="I838" s="1"/>
      <c r="J838" s="1"/>
      <c r="K838" s="1"/>
    </row>
    <row r="839" spans="1:11" s="144" customFormat="1" ht="13.5">
      <c r="A839" s="1"/>
      <c r="B839" s="68"/>
      <c r="C839" s="68"/>
      <c r="D839" s="1"/>
      <c r="E839" s="3"/>
      <c r="G839" s="63"/>
      <c r="H839" s="63"/>
      <c r="I839" s="1"/>
      <c r="J839" s="1"/>
      <c r="K839" s="1"/>
    </row>
    <row r="840" spans="1:11" s="144" customFormat="1" ht="13.5">
      <c r="A840" s="1"/>
      <c r="B840" s="68"/>
      <c r="C840" s="68"/>
      <c r="D840" s="1"/>
      <c r="E840" s="3"/>
      <c r="G840" s="63"/>
      <c r="H840" s="63"/>
      <c r="I840" s="1"/>
      <c r="J840" s="1"/>
      <c r="K840" s="1"/>
    </row>
    <row r="841" spans="1:11" s="144" customFormat="1" ht="13.5">
      <c r="A841" s="1"/>
      <c r="B841" s="68"/>
      <c r="C841" s="68"/>
      <c r="D841" s="1"/>
      <c r="E841" s="3"/>
      <c r="G841" s="63"/>
      <c r="H841" s="63"/>
      <c r="I841" s="1"/>
      <c r="J841" s="1"/>
      <c r="K841" s="1"/>
    </row>
    <row r="842" spans="1:11" s="144" customFormat="1" ht="13.5">
      <c r="A842" s="1"/>
      <c r="B842" s="68"/>
      <c r="C842" s="68"/>
      <c r="D842" s="1"/>
      <c r="E842" s="3"/>
      <c r="G842" s="63"/>
      <c r="H842" s="63"/>
      <c r="I842" s="1"/>
      <c r="J842" s="1"/>
      <c r="K842" s="1"/>
    </row>
    <row r="843" spans="1:11" s="144" customFormat="1" ht="13.5">
      <c r="A843" s="1"/>
      <c r="B843" s="68"/>
      <c r="C843" s="68"/>
      <c r="D843" s="1"/>
      <c r="E843" s="3"/>
      <c r="G843" s="63"/>
      <c r="H843" s="63"/>
      <c r="I843" s="1"/>
      <c r="J843" s="1"/>
      <c r="K843" s="1"/>
    </row>
    <row r="844" spans="1:11" s="144" customFormat="1" ht="13.5">
      <c r="A844" s="1"/>
      <c r="B844" s="68"/>
      <c r="C844" s="68"/>
      <c r="D844" s="1"/>
      <c r="E844" s="3"/>
      <c r="G844" s="63"/>
      <c r="H844" s="63"/>
      <c r="I844" s="1"/>
      <c r="J844" s="1"/>
      <c r="K844" s="1"/>
    </row>
    <row r="845" spans="1:11" s="144" customFormat="1" ht="13.5">
      <c r="A845" s="1"/>
      <c r="B845" s="68"/>
      <c r="C845" s="68"/>
      <c r="D845" s="1"/>
      <c r="E845" s="3"/>
      <c r="G845" s="63"/>
      <c r="H845" s="63"/>
      <c r="I845" s="1"/>
      <c r="J845" s="1"/>
      <c r="K845" s="1"/>
    </row>
    <row r="846" spans="1:11" s="144" customFormat="1" ht="13.5">
      <c r="A846" s="1"/>
      <c r="B846" s="68"/>
      <c r="C846" s="68"/>
      <c r="D846" s="1"/>
      <c r="E846" s="3"/>
      <c r="G846" s="63"/>
      <c r="H846" s="63"/>
      <c r="I846" s="1"/>
      <c r="J846" s="1"/>
      <c r="K846" s="1"/>
    </row>
    <row r="847" spans="1:11" s="144" customFormat="1" ht="13.5">
      <c r="A847" s="1"/>
      <c r="B847" s="68"/>
      <c r="C847" s="68"/>
      <c r="D847" s="1"/>
      <c r="E847" s="3"/>
      <c r="G847" s="63"/>
      <c r="H847" s="63"/>
      <c r="I847" s="1"/>
      <c r="J847" s="1"/>
      <c r="K847" s="1"/>
    </row>
    <row r="848" spans="1:11" s="144" customFormat="1" ht="13.5">
      <c r="A848" s="1"/>
      <c r="B848" s="68"/>
      <c r="C848" s="68"/>
      <c r="D848" s="1"/>
      <c r="E848" s="3"/>
      <c r="G848" s="63"/>
      <c r="H848" s="63"/>
      <c r="I848" s="1"/>
      <c r="J848" s="1"/>
      <c r="K848" s="1"/>
    </row>
    <row r="849" spans="1:11" s="144" customFormat="1" ht="13.5">
      <c r="A849" s="1"/>
      <c r="B849" s="68"/>
      <c r="C849" s="68"/>
      <c r="D849" s="1"/>
      <c r="E849" s="3"/>
      <c r="G849" s="63"/>
      <c r="H849" s="63"/>
      <c r="I849" s="1"/>
      <c r="J849" s="1"/>
      <c r="K849" s="1"/>
    </row>
    <row r="850" spans="1:11" s="144" customFormat="1" ht="13.5">
      <c r="A850" s="1"/>
      <c r="B850" s="68"/>
      <c r="C850" s="68"/>
      <c r="D850" s="1"/>
      <c r="E850" s="3"/>
      <c r="G850" s="63"/>
      <c r="H850" s="63"/>
      <c r="I850" s="1"/>
      <c r="J850" s="1"/>
      <c r="K850" s="1"/>
    </row>
    <row r="851" spans="1:11" s="144" customFormat="1" ht="13.5">
      <c r="A851" s="1"/>
      <c r="B851" s="68"/>
      <c r="C851" s="68"/>
      <c r="D851" s="1"/>
      <c r="E851" s="3"/>
      <c r="G851" s="63"/>
      <c r="H851" s="63"/>
      <c r="I851" s="1"/>
      <c r="J851" s="1"/>
      <c r="K851" s="1"/>
    </row>
    <row r="852" spans="1:11" s="144" customFormat="1" ht="13.5">
      <c r="A852" s="1"/>
      <c r="B852" s="68"/>
      <c r="C852" s="68"/>
      <c r="D852" s="1"/>
      <c r="E852" s="3"/>
      <c r="G852" s="63"/>
      <c r="H852" s="63"/>
      <c r="I852" s="1"/>
      <c r="J852" s="1"/>
      <c r="K852" s="1"/>
    </row>
    <row r="853" spans="1:11" s="144" customFormat="1" ht="13.5">
      <c r="A853" s="1"/>
      <c r="B853" s="68"/>
      <c r="C853" s="68"/>
      <c r="D853" s="1"/>
      <c r="E853" s="3"/>
      <c r="G853" s="63"/>
      <c r="H853" s="63"/>
      <c r="I853" s="1"/>
      <c r="J853" s="1"/>
      <c r="K853" s="1"/>
    </row>
    <row r="854" spans="1:11" s="144" customFormat="1" ht="13.5">
      <c r="A854" s="1"/>
      <c r="B854" s="68"/>
      <c r="C854" s="68"/>
      <c r="D854" s="1"/>
      <c r="E854" s="3"/>
      <c r="G854" s="63"/>
      <c r="H854" s="63"/>
      <c r="I854" s="1"/>
      <c r="J854" s="1"/>
      <c r="K854" s="1"/>
    </row>
    <row r="855" spans="1:11" s="144" customFormat="1" ht="13.5">
      <c r="A855" s="1"/>
      <c r="B855" s="68"/>
      <c r="C855" s="68"/>
      <c r="D855" s="1"/>
      <c r="E855" s="3"/>
      <c r="G855" s="63"/>
      <c r="H855" s="63"/>
      <c r="I855" s="1"/>
      <c r="J855" s="1"/>
      <c r="K855" s="1"/>
    </row>
    <row r="856" spans="1:11" s="144" customFormat="1" ht="13.5">
      <c r="A856" s="1"/>
      <c r="B856" s="68"/>
      <c r="C856" s="68"/>
      <c r="D856" s="1"/>
      <c r="E856" s="3"/>
      <c r="G856" s="63"/>
      <c r="H856" s="63"/>
      <c r="I856" s="1"/>
      <c r="J856" s="1"/>
      <c r="K856" s="1"/>
    </row>
    <row r="857" spans="1:11" s="144" customFormat="1" ht="13.5">
      <c r="A857" s="1"/>
      <c r="B857" s="68"/>
      <c r="C857" s="68"/>
      <c r="D857" s="1"/>
      <c r="E857" s="3"/>
      <c r="G857" s="63"/>
      <c r="H857" s="63"/>
      <c r="I857" s="1"/>
      <c r="J857" s="1"/>
      <c r="K857" s="1"/>
    </row>
    <row r="858" spans="1:11" s="144" customFormat="1" ht="13.5">
      <c r="A858" s="1"/>
      <c r="B858" s="68"/>
      <c r="C858" s="68"/>
      <c r="D858" s="1"/>
      <c r="E858" s="3"/>
      <c r="G858" s="63"/>
      <c r="H858" s="63"/>
      <c r="I858" s="1"/>
      <c r="J858" s="1"/>
      <c r="K858" s="1"/>
    </row>
    <row r="859" spans="1:11" s="144" customFormat="1" ht="13.5">
      <c r="A859" s="1"/>
      <c r="B859" s="68"/>
      <c r="C859" s="68"/>
      <c r="D859" s="1"/>
      <c r="E859" s="3"/>
      <c r="G859" s="63"/>
      <c r="H859" s="63"/>
      <c r="I859" s="1"/>
      <c r="J859" s="1"/>
      <c r="K859" s="1"/>
    </row>
    <row r="860" spans="1:11" s="144" customFormat="1" ht="13.5">
      <c r="A860" s="1"/>
      <c r="B860" s="68"/>
      <c r="C860" s="68"/>
      <c r="D860" s="1"/>
      <c r="E860" s="3"/>
      <c r="G860" s="63"/>
      <c r="H860" s="63"/>
      <c r="I860" s="1"/>
      <c r="J860" s="1"/>
      <c r="K860" s="1"/>
    </row>
    <row r="861" spans="1:11" s="144" customFormat="1" ht="13.5">
      <c r="A861" s="1"/>
      <c r="B861" s="68"/>
      <c r="C861" s="68"/>
      <c r="D861" s="1"/>
      <c r="E861" s="3"/>
      <c r="G861" s="63"/>
      <c r="H861" s="63"/>
      <c r="I861" s="1"/>
      <c r="J861" s="1"/>
      <c r="K861" s="1"/>
    </row>
    <row r="862" spans="1:11" s="144" customFormat="1" ht="13.5">
      <c r="A862" s="1"/>
      <c r="B862" s="68"/>
      <c r="C862" s="68"/>
      <c r="D862" s="1"/>
      <c r="E862" s="3"/>
      <c r="G862" s="63"/>
      <c r="H862" s="63"/>
      <c r="I862" s="1"/>
      <c r="J862" s="1"/>
      <c r="K862" s="1"/>
    </row>
    <row r="863" spans="1:11" s="144" customFormat="1" ht="13.5">
      <c r="A863" s="1"/>
      <c r="B863" s="68"/>
      <c r="C863" s="68"/>
      <c r="D863" s="1"/>
      <c r="E863" s="3"/>
      <c r="G863" s="63"/>
      <c r="H863" s="63"/>
      <c r="I863" s="1"/>
      <c r="J863" s="1"/>
      <c r="K863" s="1"/>
    </row>
    <row r="864" spans="1:11" s="144" customFormat="1" ht="13.5">
      <c r="A864" s="1"/>
      <c r="B864" s="68"/>
      <c r="C864" s="68"/>
      <c r="D864" s="1"/>
      <c r="E864" s="3"/>
      <c r="G864" s="63"/>
      <c r="H864" s="63"/>
      <c r="I864" s="1"/>
      <c r="J864" s="1"/>
      <c r="K864" s="1"/>
    </row>
    <row r="865" spans="1:11" s="144" customFormat="1" ht="13.5">
      <c r="A865" s="1"/>
      <c r="B865" s="68"/>
      <c r="C865" s="68"/>
      <c r="D865" s="1"/>
      <c r="E865" s="3"/>
      <c r="G865" s="63"/>
      <c r="H865" s="63"/>
      <c r="I865" s="1"/>
      <c r="J865" s="1"/>
      <c r="K865" s="1"/>
    </row>
    <row r="866" spans="1:11" s="144" customFormat="1" ht="13.5">
      <c r="A866" s="1"/>
      <c r="B866" s="68"/>
      <c r="C866" s="68"/>
      <c r="D866" s="1"/>
      <c r="E866" s="3"/>
      <c r="G866" s="63"/>
      <c r="H866" s="63"/>
      <c r="I866" s="1"/>
      <c r="J866" s="1"/>
      <c r="K866" s="1"/>
    </row>
    <row r="867" spans="1:11" s="144" customFormat="1" ht="13.5">
      <c r="A867" s="1"/>
      <c r="B867" s="68"/>
      <c r="C867" s="68"/>
      <c r="D867" s="1"/>
      <c r="E867" s="3"/>
      <c r="G867" s="63"/>
      <c r="H867" s="63"/>
      <c r="I867" s="1"/>
      <c r="J867" s="1"/>
      <c r="K867" s="1"/>
    </row>
    <row r="868" spans="1:11" s="144" customFormat="1" ht="13.5">
      <c r="A868" s="1"/>
      <c r="B868" s="68"/>
      <c r="C868" s="68"/>
      <c r="D868" s="1"/>
      <c r="E868" s="3"/>
      <c r="G868" s="63"/>
      <c r="H868" s="63"/>
      <c r="I868" s="1"/>
      <c r="J868" s="1"/>
      <c r="K868" s="1"/>
    </row>
    <row r="869" spans="1:11" s="144" customFormat="1" ht="13.5">
      <c r="A869" s="1"/>
      <c r="B869" s="68"/>
      <c r="C869" s="68"/>
      <c r="D869" s="1"/>
      <c r="E869" s="3"/>
      <c r="G869" s="63"/>
      <c r="H869" s="63"/>
      <c r="I869" s="1"/>
      <c r="J869" s="1"/>
      <c r="K869" s="1"/>
    </row>
    <row r="870" spans="1:11" s="144" customFormat="1" ht="13.5">
      <c r="A870" s="1"/>
      <c r="B870" s="68"/>
      <c r="C870" s="68"/>
      <c r="D870" s="1"/>
      <c r="E870" s="3"/>
      <c r="G870" s="63"/>
      <c r="H870" s="63"/>
      <c r="I870" s="1"/>
      <c r="J870" s="1"/>
      <c r="K870" s="1"/>
    </row>
    <row r="871" spans="1:11" s="144" customFormat="1" ht="13.5">
      <c r="A871" s="1"/>
      <c r="B871" s="68"/>
      <c r="C871" s="68"/>
      <c r="D871" s="1"/>
      <c r="E871" s="3"/>
      <c r="G871" s="63"/>
      <c r="H871" s="63"/>
      <c r="I871" s="1"/>
      <c r="J871" s="1"/>
      <c r="K871" s="1"/>
    </row>
    <row r="872" spans="1:11" s="144" customFormat="1" ht="13.5">
      <c r="A872" s="1"/>
      <c r="B872" s="68"/>
      <c r="C872" s="68"/>
      <c r="D872" s="1"/>
      <c r="E872" s="3"/>
      <c r="G872" s="63"/>
      <c r="H872" s="63"/>
      <c r="I872" s="1"/>
      <c r="J872" s="1"/>
      <c r="K872" s="1"/>
    </row>
    <row r="873" spans="1:11" s="144" customFormat="1" ht="13.5">
      <c r="A873" s="1"/>
      <c r="B873" s="68"/>
      <c r="C873" s="68"/>
      <c r="D873" s="1"/>
      <c r="E873" s="3"/>
      <c r="G873" s="63"/>
      <c r="H873" s="63"/>
      <c r="I873" s="1"/>
      <c r="J873" s="1"/>
      <c r="K873" s="1"/>
    </row>
    <row r="874" spans="1:11" s="144" customFormat="1" ht="13.5">
      <c r="A874" s="1"/>
      <c r="B874" s="68"/>
      <c r="C874" s="68"/>
      <c r="D874" s="1"/>
      <c r="E874" s="3"/>
      <c r="G874" s="63"/>
      <c r="H874" s="63"/>
      <c r="I874" s="1"/>
      <c r="J874" s="1"/>
      <c r="K874" s="1"/>
    </row>
    <row r="875" spans="1:11" s="144" customFormat="1" ht="13.5">
      <c r="A875" s="1"/>
      <c r="B875" s="68"/>
      <c r="C875" s="68"/>
      <c r="D875" s="1"/>
      <c r="E875" s="3"/>
      <c r="G875" s="63"/>
      <c r="H875" s="63"/>
      <c r="I875" s="1"/>
      <c r="J875" s="1"/>
      <c r="K875" s="1"/>
    </row>
    <row r="876" spans="1:11" s="144" customFormat="1" ht="13.5">
      <c r="A876" s="1"/>
      <c r="B876" s="68"/>
      <c r="C876" s="68"/>
      <c r="D876" s="1"/>
      <c r="E876" s="3"/>
      <c r="G876" s="63"/>
      <c r="H876" s="63"/>
      <c r="I876" s="1"/>
      <c r="J876" s="1"/>
      <c r="K876" s="1"/>
    </row>
    <row r="877" spans="1:11" s="144" customFormat="1" ht="13.5">
      <c r="A877" s="1"/>
      <c r="B877" s="68"/>
      <c r="C877" s="68"/>
      <c r="D877" s="1"/>
      <c r="E877" s="3"/>
      <c r="G877" s="63"/>
      <c r="H877" s="63"/>
      <c r="I877" s="1"/>
      <c r="J877" s="1"/>
      <c r="K877" s="1"/>
    </row>
    <row r="878" spans="1:11" s="144" customFormat="1" ht="13.5">
      <c r="A878" s="1"/>
      <c r="B878" s="68"/>
      <c r="C878" s="68"/>
      <c r="D878" s="1"/>
      <c r="E878" s="3"/>
      <c r="G878" s="63"/>
      <c r="H878" s="63"/>
      <c r="I878" s="1"/>
      <c r="J878" s="1"/>
      <c r="K878" s="1"/>
    </row>
    <row r="879" spans="1:11" s="144" customFormat="1" ht="13.5">
      <c r="A879" s="1"/>
      <c r="B879" s="68"/>
      <c r="C879" s="68"/>
      <c r="D879" s="1"/>
      <c r="E879" s="3"/>
      <c r="G879" s="63"/>
      <c r="H879" s="63"/>
      <c r="I879" s="1"/>
      <c r="J879" s="1"/>
      <c r="K879" s="1"/>
    </row>
    <row r="880" spans="1:11" s="144" customFormat="1" ht="13.5">
      <c r="A880" s="1"/>
      <c r="B880" s="68"/>
      <c r="C880" s="68"/>
      <c r="D880" s="1"/>
      <c r="E880" s="3"/>
      <c r="G880" s="63"/>
      <c r="H880" s="63"/>
      <c r="I880" s="1"/>
      <c r="J880" s="1"/>
      <c r="K880" s="1"/>
    </row>
    <row r="881" spans="1:11" s="144" customFormat="1" ht="13.5">
      <c r="A881" s="1"/>
      <c r="B881" s="68"/>
      <c r="C881" s="68"/>
      <c r="D881" s="1"/>
      <c r="E881" s="3"/>
      <c r="G881" s="63"/>
      <c r="H881" s="63"/>
      <c r="I881" s="1"/>
      <c r="J881" s="1"/>
      <c r="K881" s="1"/>
    </row>
    <row r="882" spans="1:11" s="144" customFormat="1" ht="13.5">
      <c r="A882" s="1"/>
      <c r="B882" s="68"/>
      <c r="C882" s="68"/>
      <c r="D882" s="1"/>
      <c r="E882" s="3"/>
      <c r="G882" s="63"/>
      <c r="H882" s="63"/>
      <c r="I882" s="1"/>
      <c r="J882" s="1"/>
      <c r="K882" s="1"/>
    </row>
    <row r="883" spans="1:11" s="144" customFormat="1" ht="13.5">
      <c r="A883" s="1"/>
      <c r="B883" s="68"/>
      <c r="C883" s="68"/>
      <c r="D883" s="1"/>
      <c r="E883" s="3"/>
      <c r="G883" s="63"/>
      <c r="H883" s="63"/>
      <c r="I883" s="1"/>
      <c r="J883" s="1"/>
      <c r="K883" s="1"/>
    </row>
    <row r="884" spans="1:11" s="144" customFormat="1" ht="13.5">
      <c r="A884" s="1"/>
      <c r="B884" s="68"/>
      <c r="C884" s="68"/>
      <c r="D884" s="1"/>
      <c r="E884" s="3"/>
      <c r="G884" s="63"/>
      <c r="H884" s="63"/>
      <c r="I884" s="1"/>
      <c r="J884" s="1"/>
      <c r="K884" s="1"/>
    </row>
    <row r="885" spans="1:11" s="144" customFormat="1" ht="13.5">
      <c r="A885" s="1"/>
      <c r="B885" s="68"/>
      <c r="C885" s="68"/>
      <c r="D885" s="1"/>
      <c r="E885" s="3"/>
      <c r="G885" s="63"/>
      <c r="H885" s="63"/>
      <c r="I885" s="1"/>
      <c r="J885" s="1"/>
      <c r="K885" s="1"/>
    </row>
    <row r="886" spans="1:11" s="144" customFormat="1" ht="13.5">
      <c r="A886" s="1"/>
      <c r="B886" s="68"/>
      <c r="C886" s="68"/>
      <c r="D886" s="1"/>
      <c r="E886" s="3"/>
      <c r="G886" s="63"/>
      <c r="H886" s="63"/>
      <c r="I886" s="1"/>
      <c r="J886" s="1"/>
      <c r="K886" s="1"/>
    </row>
    <row r="887" spans="1:11" s="144" customFormat="1" ht="13.5">
      <c r="A887" s="1"/>
      <c r="B887" s="68"/>
      <c r="C887" s="68"/>
      <c r="D887" s="1"/>
      <c r="E887" s="3"/>
      <c r="G887" s="63"/>
      <c r="H887" s="63"/>
      <c r="I887" s="1"/>
      <c r="J887" s="1"/>
      <c r="K887" s="1"/>
    </row>
    <row r="888" spans="1:11" s="144" customFormat="1" ht="13.5">
      <c r="A888" s="1"/>
      <c r="B888" s="68"/>
      <c r="C888" s="68"/>
      <c r="D888" s="1"/>
      <c r="E888" s="3"/>
      <c r="G888" s="63"/>
      <c r="H888" s="63"/>
      <c r="I888" s="1"/>
      <c r="J888" s="1"/>
      <c r="K888" s="1"/>
    </row>
    <row r="889" spans="1:11" s="144" customFormat="1" ht="13.5">
      <c r="A889" s="1"/>
      <c r="B889" s="68"/>
      <c r="C889" s="68"/>
      <c r="D889" s="1"/>
      <c r="E889" s="3"/>
      <c r="G889" s="63"/>
      <c r="H889" s="63"/>
      <c r="I889" s="1"/>
      <c r="J889" s="1"/>
      <c r="K889" s="1"/>
    </row>
    <row r="890" spans="1:11" s="144" customFormat="1" ht="13.5">
      <c r="A890" s="1"/>
      <c r="B890" s="68"/>
      <c r="C890" s="68"/>
      <c r="D890" s="1"/>
      <c r="E890" s="3"/>
      <c r="G890" s="63"/>
      <c r="H890" s="63"/>
      <c r="I890" s="1"/>
      <c r="J890" s="1"/>
      <c r="K890" s="1"/>
    </row>
    <row r="891" spans="1:11" s="144" customFormat="1" ht="13.5">
      <c r="A891" s="1"/>
      <c r="B891" s="68"/>
      <c r="C891" s="68"/>
      <c r="D891" s="1"/>
      <c r="E891" s="3"/>
      <c r="G891" s="63"/>
      <c r="H891" s="63"/>
      <c r="I891" s="1"/>
      <c r="J891" s="1"/>
      <c r="K891" s="1"/>
    </row>
    <row r="892" spans="1:11" s="144" customFormat="1" ht="13.5">
      <c r="A892" s="1"/>
      <c r="B892" s="68"/>
      <c r="C892" s="68"/>
      <c r="D892" s="1"/>
      <c r="E892" s="3"/>
      <c r="G892" s="63"/>
      <c r="H892" s="63"/>
      <c r="I892" s="1"/>
      <c r="J892" s="1"/>
      <c r="K892" s="1"/>
    </row>
    <row r="893" spans="1:11" s="144" customFormat="1" ht="13.5">
      <c r="A893" s="1"/>
      <c r="B893" s="68"/>
      <c r="C893" s="68"/>
      <c r="D893" s="1"/>
      <c r="E893" s="3"/>
      <c r="G893" s="63"/>
      <c r="H893" s="63"/>
      <c r="I893" s="1"/>
      <c r="J893" s="1"/>
      <c r="K893" s="1"/>
    </row>
    <row r="894" spans="1:11" s="144" customFormat="1" ht="13.5">
      <c r="A894" s="1"/>
      <c r="B894" s="68"/>
      <c r="C894" s="68"/>
      <c r="D894" s="1"/>
      <c r="E894" s="3"/>
      <c r="G894" s="63"/>
      <c r="H894" s="63"/>
      <c r="I894" s="1"/>
      <c r="J894" s="1"/>
      <c r="K894" s="1"/>
    </row>
    <row r="895" spans="1:11" s="144" customFormat="1" ht="13.5">
      <c r="A895" s="1"/>
      <c r="B895" s="68"/>
      <c r="C895" s="68"/>
      <c r="D895" s="1"/>
      <c r="E895" s="3"/>
      <c r="G895" s="63"/>
      <c r="H895" s="63"/>
      <c r="I895" s="1"/>
      <c r="J895" s="1"/>
      <c r="K895" s="1"/>
    </row>
    <row r="896" spans="1:11" s="144" customFormat="1" ht="13.5">
      <c r="A896" s="1"/>
      <c r="B896" s="68"/>
      <c r="C896" s="68"/>
      <c r="D896" s="1"/>
      <c r="E896" s="3"/>
      <c r="G896" s="63"/>
      <c r="H896" s="63"/>
      <c r="I896" s="1"/>
      <c r="J896" s="1"/>
      <c r="K896" s="1"/>
    </row>
    <row r="897" spans="1:11" s="144" customFormat="1" ht="13.5">
      <c r="A897" s="1"/>
      <c r="B897" s="68"/>
      <c r="C897" s="68"/>
      <c r="D897" s="1"/>
      <c r="E897" s="3"/>
      <c r="G897" s="63"/>
      <c r="H897" s="63"/>
      <c r="I897" s="1"/>
      <c r="J897" s="1"/>
      <c r="K897" s="1"/>
    </row>
    <row r="898" spans="1:11" s="144" customFormat="1" ht="13.5">
      <c r="A898" s="1"/>
      <c r="B898" s="68"/>
      <c r="C898" s="68"/>
      <c r="D898" s="1"/>
      <c r="E898" s="3"/>
      <c r="G898" s="63"/>
      <c r="H898" s="63"/>
      <c r="I898" s="1"/>
      <c r="J898" s="1"/>
      <c r="K898" s="1"/>
    </row>
    <row r="899" spans="1:11" s="144" customFormat="1" ht="13.5">
      <c r="A899" s="1"/>
      <c r="B899" s="68"/>
      <c r="C899" s="68"/>
      <c r="D899" s="1"/>
      <c r="E899" s="3"/>
      <c r="G899" s="63"/>
      <c r="H899" s="63"/>
      <c r="I899" s="1"/>
      <c r="J899" s="1"/>
      <c r="K899" s="1"/>
    </row>
    <row r="900" spans="1:11" s="144" customFormat="1" ht="13.5">
      <c r="A900" s="1"/>
      <c r="B900" s="68"/>
      <c r="C900" s="68"/>
      <c r="D900" s="1"/>
      <c r="E900" s="3"/>
      <c r="G900" s="63"/>
      <c r="H900" s="63"/>
      <c r="I900" s="1"/>
      <c r="J900" s="1"/>
      <c r="K900" s="1"/>
    </row>
    <row r="901" spans="1:11" s="144" customFormat="1" ht="13.5">
      <c r="A901" s="1"/>
      <c r="B901" s="68"/>
      <c r="C901" s="68"/>
      <c r="D901" s="1"/>
      <c r="E901" s="3"/>
      <c r="G901" s="63"/>
      <c r="H901" s="63"/>
      <c r="I901" s="1"/>
      <c r="J901" s="1"/>
      <c r="K901" s="1"/>
    </row>
    <row r="902" spans="1:11" s="144" customFormat="1" ht="13.5">
      <c r="A902" s="1"/>
      <c r="B902" s="68"/>
      <c r="C902" s="68"/>
      <c r="D902" s="1"/>
      <c r="E902" s="3"/>
      <c r="G902" s="63"/>
      <c r="H902" s="63"/>
      <c r="I902" s="1"/>
      <c r="J902" s="1"/>
      <c r="K902" s="1"/>
    </row>
    <row r="903" spans="1:11" s="144" customFormat="1" ht="13.5">
      <c r="A903" s="1"/>
      <c r="B903" s="68"/>
      <c r="C903" s="68"/>
      <c r="D903" s="1"/>
      <c r="E903" s="3"/>
      <c r="G903" s="63"/>
      <c r="H903" s="63"/>
      <c r="I903" s="1"/>
      <c r="J903" s="1"/>
      <c r="K903" s="1"/>
    </row>
    <row r="904" spans="1:11" s="144" customFormat="1" ht="13.5">
      <c r="A904" s="1"/>
      <c r="B904" s="68"/>
      <c r="C904" s="68"/>
      <c r="D904" s="1"/>
      <c r="E904" s="3"/>
      <c r="G904" s="63"/>
      <c r="H904" s="63"/>
      <c r="I904" s="1"/>
      <c r="J904" s="1"/>
      <c r="K904" s="1"/>
    </row>
    <row r="905" spans="1:11" s="144" customFormat="1" ht="13.5">
      <c r="A905" s="1"/>
      <c r="B905" s="68"/>
      <c r="C905" s="68"/>
      <c r="D905" s="1"/>
      <c r="E905" s="3"/>
      <c r="G905" s="63"/>
      <c r="H905" s="63"/>
      <c r="I905" s="1"/>
      <c r="J905" s="1"/>
      <c r="K905" s="1"/>
    </row>
    <row r="906" spans="1:11" s="144" customFormat="1" ht="13.5">
      <c r="A906" s="1"/>
      <c r="B906" s="68"/>
      <c r="C906" s="68"/>
      <c r="D906" s="1"/>
      <c r="E906" s="3"/>
      <c r="G906" s="63"/>
      <c r="H906" s="63"/>
      <c r="I906" s="1"/>
      <c r="J906" s="1"/>
      <c r="K906" s="1"/>
    </row>
    <row r="907" spans="1:11" s="144" customFormat="1" ht="13.5">
      <c r="A907" s="1"/>
      <c r="B907" s="68"/>
      <c r="C907" s="68"/>
      <c r="D907" s="1"/>
      <c r="E907" s="3"/>
      <c r="G907" s="63"/>
      <c r="H907" s="63"/>
      <c r="I907" s="1"/>
      <c r="J907" s="1"/>
      <c r="K907" s="1"/>
    </row>
    <row r="908" spans="1:11" s="144" customFormat="1" ht="13.5">
      <c r="A908" s="1"/>
      <c r="B908" s="68"/>
      <c r="C908" s="68"/>
      <c r="D908" s="1"/>
      <c r="E908" s="3"/>
      <c r="G908" s="63"/>
      <c r="H908" s="63"/>
      <c r="I908" s="1"/>
      <c r="J908" s="1"/>
      <c r="K908" s="1"/>
    </row>
    <row r="909" spans="1:11" s="144" customFormat="1" ht="13.5">
      <c r="A909" s="1"/>
      <c r="B909" s="68"/>
      <c r="C909" s="68"/>
      <c r="D909" s="1"/>
      <c r="E909" s="3"/>
      <c r="G909" s="63"/>
      <c r="H909" s="63"/>
      <c r="I909" s="1"/>
      <c r="J909" s="1"/>
      <c r="K909" s="1"/>
    </row>
    <row r="910" spans="1:11" s="144" customFormat="1" ht="13.5">
      <c r="A910" s="1"/>
      <c r="B910" s="68"/>
      <c r="C910" s="68"/>
      <c r="D910" s="1"/>
      <c r="E910" s="3"/>
      <c r="G910" s="63"/>
      <c r="H910" s="63"/>
      <c r="I910" s="1"/>
      <c r="J910" s="1"/>
      <c r="K910" s="1"/>
    </row>
    <row r="911" spans="1:11" s="144" customFormat="1" ht="13.5">
      <c r="A911" s="1"/>
      <c r="B911" s="68"/>
      <c r="C911" s="68"/>
      <c r="D911" s="1"/>
      <c r="E911" s="3"/>
      <c r="G911" s="63"/>
      <c r="H911" s="63"/>
      <c r="I911" s="1"/>
      <c r="J911" s="1"/>
      <c r="K911" s="1"/>
    </row>
    <row r="912" spans="1:11" s="144" customFormat="1" ht="13.5">
      <c r="A912" s="1"/>
      <c r="B912" s="68"/>
      <c r="C912" s="68"/>
      <c r="D912" s="1"/>
      <c r="E912" s="3"/>
      <c r="G912" s="63"/>
      <c r="H912" s="63"/>
      <c r="I912" s="1"/>
      <c r="J912" s="1"/>
      <c r="K912" s="1"/>
    </row>
    <row r="913" spans="1:11" s="144" customFormat="1" ht="13.5">
      <c r="A913" s="1"/>
      <c r="B913" s="68"/>
      <c r="C913" s="68"/>
      <c r="D913" s="1"/>
      <c r="E913" s="3"/>
      <c r="G913" s="63"/>
      <c r="H913" s="63"/>
      <c r="I913" s="1"/>
      <c r="J913" s="1"/>
      <c r="K913" s="1"/>
    </row>
    <row r="914" spans="1:11" s="144" customFormat="1" ht="13.5">
      <c r="A914" s="1"/>
      <c r="B914" s="68"/>
      <c r="C914" s="68"/>
      <c r="D914" s="1"/>
      <c r="E914" s="3"/>
      <c r="G914" s="63"/>
      <c r="H914" s="63"/>
      <c r="I914" s="1"/>
      <c r="J914" s="1"/>
      <c r="K914" s="1"/>
    </row>
    <row r="915" spans="1:11" s="144" customFormat="1" ht="13.5">
      <c r="A915" s="1"/>
      <c r="B915" s="68"/>
      <c r="C915" s="68"/>
      <c r="D915" s="1"/>
      <c r="E915" s="3"/>
      <c r="G915" s="63"/>
      <c r="H915" s="63"/>
      <c r="I915" s="1"/>
      <c r="J915" s="1"/>
      <c r="K915" s="1"/>
    </row>
    <row r="916" spans="1:11" s="144" customFormat="1" ht="13.5">
      <c r="A916" s="1"/>
      <c r="B916" s="68"/>
      <c r="C916" s="68"/>
      <c r="D916" s="1"/>
      <c r="E916" s="3"/>
      <c r="G916" s="63"/>
      <c r="H916" s="63"/>
      <c r="I916" s="1"/>
      <c r="J916" s="1"/>
      <c r="K916" s="1"/>
    </row>
    <row r="917" spans="1:11" s="144" customFormat="1" ht="13.5">
      <c r="A917" s="1"/>
      <c r="B917" s="68"/>
      <c r="C917" s="68"/>
      <c r="D917" s="1"/>
      <c r="E917" s="3"/>
      <c r="G917" s="63"/>
      <c r="H917" s="63"/>
      <c r="I917" s="1"/>
      <c r="J917" s="1"/>
      <c r="K917" s="1"/>
    </row>
    <row r="918" spans="1:11" s="144" customFormat="1" ht="13.5">
      <c r="A918" s="1"/>
      <c r="B918" s="68"/>
      <c r="C918" s="68"/>
      <c r="D918" s="1"/>
      <c r="E918" s="3"/>
      <c r="G918" s="63"/>
      <c r="H918" s="63"/>
      <c r="I918" s="1"/>
      <c r="J918" s="1"/>
      <c r="K918" s="1"/>
    </row>
    <row r="919" spans="1:11" s="144" customFormat="1" ht="13.5">
      <c r="A919" s="1"/>
      <c r="B919" s="68"/>
      <c r="C919" s="68"/>
      <c r="D919" s="1"/>
      <c r="E919" s="3"/>
      <c r="G919" s="63"/>
      <c r="H919" s="63"/>
      <c r="I919" s="1"/>
      <c r="J919" s="1"/>
      <c r="K919" s="1"/>
    </row>
    <row r="920" spans="1:11" s="144" customFormat="1" ht="13.5">
      <c r="A920" s="1"/>
      <c r="B920" s="68"/>
      <c r="C920" s="68"/>
      <c r="D920" s="1"/>
      <c r="E920" s="3"/>
      <c r="G920" s="63"/>
      <c r="H920" s="63"/>
      <c r="I920" s="1"/>
      <c r="J920" s="1"/>
      <c r="K920" s="1"/>
    </row>
    <row r="921" spans="1:11" s="144" customFormat="1" ht="13.5">
      <c r="A921" s="1"/>
      <c r="B921" s="68"/>
      <c r="C921" s="68"/>
      <c r="D921" s="1"/>
      <c r="E921" s="3"/>
      <c r="G921" s="63"/>
      <c r="H921" s="63"/>
      <c r="I921" s="1"/>
      <c r="J921" s="1"/>
      <c r="K921" s="1"/>
    </row>
    <row r="922" spans="1:11" s="144" customFormat="1" ht="13.5">
      <c r="A922" s="1"/>
      <c r="B922" s="68"/>
      <c r="C922" s="68"/>
      <c r="D922" s="1"/>
      <c r="E922" s="3"/>
      <c r="G922" s="63"/>
      <c r="H922" s="63"/>
      <c r="I922" s="1"/>
      <c r="J922" s="1"/>
      <c r="K922" s="1"/>
    </row>
    <row r="923" spans="1:11" s="144" customFormat="1" ht="13.5">
      <c r="A923" s="1"/>
      <c r="B923" s="68"/>
      <c r="C923" s="68"/>
      <c r="D923" s="1"/>
      <c r="E923" s="3"/>
      <c r="G923" s="63"/>
      <c r="H923" s="63"/>
      <c r="I923" s="1"/>
      <c r="J923" s="1"/>
      <c r="K923" s="1"/>
    </row>
    <row r="924" spans="1:11" s="144" customFormat="1" ht="13.5">
      <c r="A924" s="1"/>
      <c r="B924" s="68"/>
      <c r="C924" s="68"/>
      <c r="D924" s="1"/>
      <c r="E924" s="3"/>
      <c r="G924" s="63"/>
      <c r="H924" s="63"/>
      <c r="I924" s="1"/>
      <c r="J924" s="1"/>
      <c r="K924" s="1"/>
    </row>
    <row r="925" spans="1:11" s="144" customFormat="1" ht="13.5">
      <c r="A925" s="1"/>
      <c r="B925" s="68"/>
      <c r="C925" s="68"/>
      <c r="D925" s="1"/>
      <c r="E925" s="3"/>
      <c r="G925" s="63"/>
      <c r="H925" s="63"/>
      <c r="I925" s="1"/>
      <c r="J925" s="1"/>
      <c r="K925" s="1"/>
    </row>
    <row r="926" spans="1:11" s="144" customFormat="1" ht="13.5">
      <c r="A926" s="1"/>
      <c r="B926" s="68"/>
      <c r="C926" s="68"/>
      <c r="D926" s="1"/>
      <c r="E926" s="3"/>
      <c r="G926" s="63"/>
      <c r="H926" s="63"/>
      <c r="I926" s="1"/>
      <c r="J926" s="1"/>
      <c r="K926" s="1"/>
    </row>
    <row r="927" spans="1:11" s="144" customFormat="1" ht="13.5">
      <c r="A927" s="1"/>
      <c r="B927" s="68"/>
      <c r="C927" s="68"/>
      <c r="D927" s="1"/>
      <c r="E927" s="3"/>
      <c r="G927" s="63"/>
      <c r="H927" s="63"/>
      <c r="I927" s="1"/>
      <c r="J927" s="1"/>
      <c r="K927" s="1"/>
    </row>
    <row r="928" spans="1:11" s="144" customFormat="1" ht="13.5">
      <c r="A928" s="1"/>
      <c r="B928" s="68"/>
      <c r="C928" s="68"/>
      <c r="D928" s="1"/>
      <c r="E928" s="3"/>
      <c r="G928" s="63"/>
      <c r="H928" s="63"/>
      <c r="I928" s="1"/>
      <c r="J928" s="1"/>
      <c r="K928" s="1"/>
    </row>
    <row r="929" spans="1:11" s="144" customFormat="1" ht="13.5">
      <c r="A929" s="1"/>
      <c r="B929" s="68"/>
      <c r="C929" s="68"/>
      <c r="D929" s="1"/>
      <c r="E929" s="3"/>
      <c r="G929" s="63"/>
      <c r="H929" s="63"/>
      <c r="I929" s="1"/>
      <c r="J929" s="1"/>
      <c r="K929" s="1"/>
    </row>
    <row r="930" spans="1:11" s="144" customFormat="1" ht="13.5">
      <c r="A930" s="1"/>
      <c r="B930" s="68"/>
      <c r="C930" s="68"/>
      <c r="D930" s="1"/>
      <c r="E930" s="3"/>
      <c r="G930" s="63"/>
      <c r="H930" s="63"/>
      <c r="I930" s="1"/>
      <c r="J930" s="1"/>
      <c r="K930" s="1"/>
    </row>
    <row r="931" spans="1:11" s="144" customFormat="1" ht="13.5">
      <c r="A931" s="1"/>
      <c r="B931" s="68"/>
      <c r="C931" s="68"/>
      <c r="D931" s="1"/>
      <c r="E931" s="3"/>
      <c r="G931" s="63"/>
      <c r="H931" s="63"/>
      <c r="I931" s="1"/>
      <c r="J931" s="1"/>
      <c r="K931" s="1"/>
    </row>
    <row r="932" spans="1:11" s="144" customFormat="1" ht="13.5">
      <c r="A932" s="1"/>
      <c r="B932" s="68"/>
      <c r="C932" s="68"/>
      <c r="D932" s="1"/>
      <c r="E932" s="3"/>
      <c r="G932" s="63"/>
      <c r="H932" s="63"/>
      <c r="I932" s="1"/>
      <c r="J932" s="1"/>
      <c r="K932" s="1"/>
    </row>
    <row r="933" spans="1:11" s="144" customFormat="1" ht="13.5">
      <c r="A933" s="1"/>
      <c r="B933" s="68"/>
      <c r="C933" s="68"/>
      <c r="D933" s="1"/>
      <c r="E933" s="3"/>
      <c r="G933" s="63"/>
      <c r="H933" s="63"/>
      <c r="I933" s="1"/>
      <c r="J933" s="1"/>
      <c r="K933" s="1"/>
    </row>
    <row r="934" spans="1:11" s="144" customFormat="1" ht="13.5">
      <c r="A934" s="1"/>
      <c r="B934" s="68"/>
      <c r="C934" s="68"/>
      <c r="D934" s="1"/>
      <c r="E934" s="3"/>
      <c r="G934" s="63"/>
      <c r="H934" s="63"/>
      <c r="I934" s="1"/>
      <c r="J934" s="1"/>
      <c r="K934" s="1"/>
    </row>
    <row r="935" spans="1:11" s="144" customFormat="1" ht="13.5">
      <c r="A935" s="1"/>
      <c r="B935" s="68"/>
      <c r="C935" s="68"/>
      <c r="D935" s="1"/>
      <c r="E935" s="3"/>
      <c r="G935" s="63"/>
      <c r="H935" s="63"/>
      <c r="I935" s="1"/>
      <c r="J935" s="1"/>
      <c r="K935" s="1"/>
    </row>
    <row r="936" spans="1:11" s="144" customFormat="1" ht="13.5">
      <c r="A936" s="1"/>
      <c r="B936" s="68"/>
      <c r="C936" s="68"/>
      <c r="D936" s="1"/>
      <c r="E936" s="3"/>
      <c r="G936" s="63"/>
      <c r="H936" s="63"/>
      <c r="I936" s="1"/>
      <c r="J936" s="1"/>
      <c r="K936" s="1"/>
    </row>
    <row r="937" spans="1:11" s="144" customFormat="1" ht="13.5">
      <c r="A937" s="1"/>
      <c r="B937" s="68"/>
      <c r="C937" s="68"/>
      <c r="D937" s="1"/>
      <c r="E937" s="3"/>
      <c r="G937" s="63"/>
      <c r="H937" s="63"/>
      <c r="I937" s="1"/>
      <c r="J937" s="1"/>
      <c r="K937" s="1"/>
    </row>
    <row r="938" spans="1:11" s="144" customFormat="1" ht="13.5">
      <c r="A938" s="1"/>
      <c r="B938" s="68"/>
      <c r="C938" s="68"/>
      <c r="D938" s="1"/>
      <c r="E938" s="3"/>
      <c r="G938" s="63"/>
      <c r="H938" s="63"/>
      <c r="I938" s="1"/>
      <c r="J938" s="1"/>
      <c r="K938" s="1"/>
    </row>
    <row r="939" spans="1:11" s="144" customFormat="1" ht="13.5">
      <c r="A939" s="1"/>
      <c r="B939" s="68"/>
      <c r="C939" s="68"/>
      <c r="D939" s="1"/>
      <c r="E939" s="3"/>
      <c r="G939" s="63"/>
      <c r="H939" s="63"/>
      <c r="I939" s="1"/>
      <c r="J939" s="1"/>
      <c r="K939" s="1"/>
    </row>
    <row r="940" spans="1:11" s="144" customFormat="1" ht="13.5">
      <c r="A940" s="1"/>
      <c r="B940" s="68"/>
      <c r="C940" s="68"/>
      <c r="D940" s="1"/>
      <c r="E940" s="3"/>
      <c r="G940" s="63"/>
      <c r="H940" s="63"/>
      <c r="I940" s="1"/>
      <c r="J940" s="1"/>
      <c r="K940" s="1"/>
    </row>
    <row r="941" spans="1:11" s="144" customFormat="1" ht="13.5">
      <c r="A941" s="1"/>
      <c r="B941" s="68"/>
      <c r="C941" s="68"/>
      <c r="D941" s="1"/>
      <c r="E941" s="3"/>
      <c r="G941" s="63"/>
      <c r="H941" s="63"/>
      <c r="I941" s="1"/>
      <c r="J941" s="1"/>
      <c r="K941" s="1"/>
    </row>
    <row r="942" spans="1:11" s="144" customFormat="1" ht="13.5">
      <c r="A942" s="1"/>
      <c r="B942" s="68"/>
      <c r="C942" s="68"/>
      <c r="D942" s="1"/>
      <c r="E942" s="3"/>
      <c r="G942" s="63"/>
      <c r="H942" s="63"/>
      <c r="I942" s="1"/>
      <c r="J942" s="1"/>
      <c r="K942" s="1"/>
    </row>
    <row r="943" spans="1:11" s="144" customFormat="1" ht="13.5">
      <c r="A943" s="1"/>
      <c r="B943" s="68"/>
      <c r="C943" s="68"/>
      <c r="D943" s="1"/>
      <c r="E943" s="3"/>
      <c r="G943" s="63"/>
      <c r="H943" s="63"/>
      <c r="I943" s="1"/>
      <c r="J943" s="1"/>
      <c r="K943" s="1"/>
    </row>
    <row r="944" spans="1:11" s="144" customFormat="1" ht="13.5">
      <c r="A944" s="1"/>
      <c r="B944" s="68"/>
      <c r="C944" s="68"/>
      <c r="D944" s="1"/>
      <c r="E944" s="3"/>
      <c r="G944" s="63"/>
      <c r="H944" s="63"/>
      <c r="I944" s="1"/>
      <c r="J944" s="1"/>
      <c r="K944" s="1"/>
    </row>
    <row r="945" spans="1:11" s="144" customFormat="1" ht="13.5">
      <c r="A945" s="1"/>
      <c r="B945" s="68"/>
      <c r="C945" s="68"/>
      <c r="D945" s="1"/>
      <c r="E945" s="3"/>
      <c r="G945" s="63"/>
      <c r="H945" s="63"/>
      <c r="I945" s="1"/>
      <c r="J945" s="1"/>
      <c r="K945" s="1"/>
    </row>
    <row r="946" spans="1:11" s="144" customFormat="1" ht="13.5">
      <c r="A946" s="1"/>
      <c r="B946" s="68"/>
      <c r="C946" s="68"/>
      <c r="D946" s="1"/>
      <c r="E946" s="3"/>
      <c r="G946" s="63"/>
      <c r="H946" s="63"/>
      <c r="I946" s="1"/>
      <c r="J946" s="1"/>
      <c r="K946" s="1"/>
    </row>
    <row r="947" spans="1:11" s="144" customFormat="1" ht="13.5">
      <c r="A947" s="1"/>
      <c r="B947" s="68"/>
      <c r="C947" s="68"/>
      <c r="D947" s="1"/>
      <c r="E947" s="3"/>
      <c r="G947" s="63"/>
      <c r="H947" s="63"/>
      <c r="I947" s="1"/>
      <c r="J947" s="1"/>
      <c r="K947" s="1"/>
    </row>
    <row r="948" spans="1:11" s="144" customFormat="1" ht="13.5">
      <c r="A948" s="1"/>
      <c r="B948" s="68"/>
      <c r="C948" s="68"/>
      <c r="D948" s="1"/>
      <c r="E948" s="3"/>
      <c r="G948" s="63"/>
      <c r="H948" s="63"/>
      <c r="I948" s="1"/>
      <c r="J948" s="1"/>
      <c r="K948" s="1"/>
    </row>
    <row r="949" spans="1:11" s="144" customFormat="1" ht="13.5">
      <c r="A949" s="1"/>
      <c r="B949" s="68"/>
      <c r="C949" s="68"/>
      <c r="D949" s="1"/>
      <c r="E949" s="3"/>
      <c r="G949" s="63"/>
      <c r="H949" s="63"/>
      <c r="I949" s="1"/>
      <c r="J949" s="1"/>
      <c r="K949" s="1"/>
    </row>
    <row r="950" spans="1:11" s="144" customFormat="1" ht="13.5">
      <c r="A950" s="1"/>
      <c r="B950" s="68"/>
      <c r="C950" s="68"/>
      <c r="D950" s="1"/>
      <c r="E950" s="3"/>
      <c r="G950" s="63"/>
      <c r="H950" s="63"/>
      <c r="I950" s="1"/>
      <c r="J950" s="1"/>
      <c r="K950" s="1"/>
    </row>
    <row r="951" spans="1:11" s="144" customFormat="1" ht="13.5">
      <c r="A951" s="1"/>
      <c r="B951" s="68"/>
      <c r="C951" s="68"/>
      <c r="D951" s="1"/>
      <c r="E951" s="3"/>
      <c r="G951" s="63"/>
      <c r="H951" s="63"/>
      <c r="I951" s="1"/>
      <c r="J951" s="1"/>
      <c r="K951" s="1"/>
    </row>
    <row r="952" spans="1:11" s="144" customFormat="1" ht="13.5">
      <c r="A952" s="1"/>
      <c r="B952" s="68"/>
      <c r="C952" s="68"/>
      <c r="D952" s="1"/>
      <c r="E952" s="3"/>
      <c r="G952" s="63"/>
      <c r="H952" s="63"/>
      <c r="I952" s="1"/>
      <c r="J952" s="1"/>
      <c r="K952" s="1"/>
    </row>
    <row r="953" spans="1:11" s="144" customFormat="1" ht="13.5">
      <c r="A953" s="1"/>
      <c r="B953" s="68"/>
      <c r="C953" s="68"/>
      <c r="D953" s="1"/>
      <c r="E953" s="3"/>
      <c r="G953" s="63"/>
      <c r="H953" s="63"/>
      <c r="I953" s="1"/>
      <c r="J953" s="1"/>
      <c r="K953" s="1"/>
    </row>
    <row r="954" spans="1:11" s="144" customFormat="1" ht="13.5">
      <c r="A954" s="1"/>
      <c r="B954" s="68"/>
      <c r="C954" s="68"/>
      <c r="D954" s="1"/>
      <c r="E954" s="3"/>
      <c r="G954" s="63"/>
      <c r="H954" s="63"/>
      <c r="I954" s="1"/>
      <c r="J954" s="1"/>
      <c r="K954" s="1"/>
    </row>
    <row r="955" spans="1:11" s="144" customFormat="1" ht="13.5">
      <c r="A955" s="1"/>
      <c r="B955" s="68"/>
      <c r="C955" s="68"/>
      <c r="D955" s="1"/>
      <c r="E955" s="3"/>
      <c r="G955" s="63"/>
      <c r="H955" s="63"/>
      <c r="I955" s="1"/>
      <c r="J955" s="1"/>
      <c r="K955" s="1"/>
    </row>
    <row r="956" spans="1:11" s="144" customFormat="1" ht="13.5">
      <c r="A956" s="1"/>
      <c r="B956" s="68"/>
      <c r="C956" s="68"/>
      <c r="D956" s="1"/>
      <c r="E956" s="3"/>
      <c r="G956" s="63"/>
      <c r="H956" s="63"/>
      <c r="I956" s="1"/>
      <c r="J956" s="1"/>
      <c r="K956" s="1"/>
    </row>
    <row r="957" spans="1:11" s="144" customFormat="1" ht="13.5">
      <c r="A957" s="1"/>
      <c r="B957" s="68"/>
      <c r="C957" s="68"/>
      <c r="D957" s="1"/>
      <c r="E957" s="3"/>
      <c r="G957" s="63"/>
      <c r="H957" s="63"/>
      <c r="I957" s="1"/>
      <c r="J957" s="1"/>
      <c r="K957" s="1"/>
    </row>
    <row r="958" spans="1:11" s="144" customFormat="1" ht="13.5">
      <c r="A958" s="1"/>
      <c r="B958" s="68"/>
      <c r="C958" s="68"/>
      <c r="D958" s="1"/>
      <c r="E958" s="3"/>
      <c r="G958" s="63"/>
      <c r="H958" s="63"/>
      <c r="I958" s="1"/>
      <c r="J958" s="1"/>
      <c r="K958" s="1"/>
    </row>
    <row r="959" spans="1:11" s="144" customFormat="1" ht="13.5">
      <c r="A959" s="1"/>
      <c r="B959" s="68"/>
      <c r="C959" s="68"/>
      <c r="D959" s="1"/>
      <c r="E959" s="3"/>
      <c r="G959" s="63"/>
      <c r="H959" s="63"/>
      <c r="I959" s="1"/>
      <c r="J959" s="1"/>
      <c r="K959" s="1"/>
    </row>
    <row r="960" spans="1:11" s="144" customFormat="1" ht="13.5">
      <c r="A960" s="1"/>
      <c r="B960" s="68"/>
      <c r="C960" s="68"/>
      <c r="D960" s="1"/>
      <c r="E960" s="3"/>
      <c r="G960" s="63"/>
      <c r="H960" s="63"/>
      <c r="I960" s="1"/>
      <c r="J960" s="1"/>
      <c r="K960" s="1"/>
    </row>
    <row r="961" spans="1:11" s="144" customFormat="1" ht="13.5">
      <c r="A961" s="1"/>
      <c r="B961" s="68"/>
      <c r="C961" s="68"/>
      <c r="D961" s="1"/>
      <c r="E961" s="3"/>
      <c r="G961" s="63"/>
      <c r="H961" s="63"/>
      <c r="I961" s="1"/>
      <c r="J961" s="1"/>
      <c r="K961" s="1"/>
    </row>
    <row r="962" spans="1:11" s="144" customFormat="1" ht="13.5">
      <c r="A962" s="1"/>
      <c r="B962" s="68"/>
      <c r="C962" s="68"/>
      <c r="D962" s="1"/>
      <c r="E962" s="3"/>
      <c r="G962" s="63"/>
      <c r="H962" s="63"/>
      <c r="I962" s="1"/>
      <c r="J962" s="1"/>
      <c r="K962" s="1"/>
    </row>
    <row r="963" spans="1:11" s="144" customFormat="1" ht="13.5">
      <c r="A963" s="1"/>
      <c r="B963" s="68"/>
      <c r="C963" s="68"/>
      <c r="D963" s="1"/>
      <c r="E963" s="3"/>
      <c r="G963" s="63"/>
      <c r="H963" s="63"/>
      <c r="I963" s="1"/>
      <c r="J963" s="1"/>
      <c r="K963" s="1"/>
    </row>
    <row r="964" spans="1:11" s="144" customFormat="1" ht="13.5">
      <c r="A964" s="1"/>
      <c r="B964" s="68"/>
      <c r="C964" s="68"/>
      <c r="D964" s="1"/>
      <c r="E964" s="3"/>
      <c r="G964" s="63"/>
      <c r="H964" s="63"/>
      <c r="I964" s="1"/>
      <c r="J964" s="1"/>
      <c r="K964" s="1"/>
    </row>
    <row r="965" spans="1:11" s="144" customFormat="1" ht="13.5">
      <c r="A965" s="1"/>
      <c r="B965" s="68"/>
      <c r="C965" s="68"/>
      <c r="D965" s="1"/>
      <c r="E965" s="3"/>
      <c r="G965" s="63"/>
      <c r="H965" s="63"/>
      <c r="I965" s="1"/>
      <c r="J965" s="1"/>
      <c r="K965" s="1"/>
    </row>
    <row r="966" spans="1:11" s="144" customFormat="1" ht="13.5">
      <c r="A966" s="1"/>
      <c r="B966" s="68"/>
      <c r="C966" s="68"/>
      <c r="D966" s="1"/>
      <c r="E966" s="3"/>
      <c r="G966" s="63"/>
      <c r="H966" s="63"/>
      <c r="I966" s="1"/>
      <c r="J966" s="1"/>
      <c r="K966" s="1"/>
    </row>
    <row r="967" spans="1:11" s="144" customFormat="1" ht="13.5">
      <c r="A967" s="1"/>
      <c r="B967" s="68"/>
      <c r="C967" s="68"/>
      <c r="D967" s="1"/>
      <c r="E967" s="3"/>
      <c r="G967" s="63"/>
      <c r="H967" s="63"/>
      <c r="I967" s="1"/>
      <c r="J967" s="1"/>
      <c r="K967" s="1"/>
    </row>
    <row r="968" spans="1:11" s="144" customFormat="1" ht="13.5">
      <c r="A968" s="1"/>
      <c r="B968" s="68"/>
      <c r="C968" s="68"/>
      <c r="D968" s="1"/>
      <c r="E968" s="3"/>
      <c r="G968" s="63"/>
      <c r="H968" s="63"/>
      <c r="I968" s="1"/>
      <c r="J968" s="1"/>
      <c r="K968" s="1"/>
    </row>
    <row r="969" spans="1:11" s="144" customFormat="1" ht="13.5">
      <c r="A969" s="1"/>
      <c r="B969" s="68"/>
      <c r="C969" s="68"/>
      <c r="D969" s="1"/>
      <c r="E969" s="3"/>
      <c r="G969" s="63"/>
      <c r="H969" s="63"/>
      <c r="I969" s="1"/>
      <c r="J969" s="1"/>
      <c r="K969" s="1"/>
    </row>
    <row r="970" spans="1:11" s="144" customFormat="1" ht="13.5">
      <c r="A970" s="1"/>
      <c r="B970" s="68"/>
      <c r="C970" s="68"/>
      <c r="D970" s="1"/>
      <c r="E970" s="3"/>
      <c r="G970" s="63"/>
      <c r="H970" s="63"/>
      <c r="I970" s="1"/>
      <c r="J970" s="1"/>
      <c r="K970" s="1"/>
    </row>
    <row r="971" spans="1:11" s="144" customFormat="1" ht="13.5">
      <c r="A971" s="1"/>
      <c r="B971" s="68"/>
      <c r="C971" s="68"/>
      <c r="D971" s="1"/>
      <c r="E971" s="3"/>
      <c r="G971" s="63"/>
      <c r="H971" s="63"/>
      <c r="I971" s="1"/>
      <c r="J971" s="1"/>
      <c r="K971" s="1"/>
    </row>
    <row r="972" spans="1:11" s="144" customFormat="1" ht="13.5">
      <c r="A972" s="1"/>
      <c r="B972" s="68"/>
      <c r="C972" s="68"/>
      <c r="D972" s="1"/>
      <c r="E972" s="3"/>
      <c r="G972" s="63"/>
      <c r="H972" s="63"/>
      <c r="I972" s="1"/>
      <c r="J972" s="1"/>
      <c r="K972" s="1"/>
    </row>
    <row r="973" spans="1:11" s="144" customFormat="1" ht="13.5">
      <c r="A973" s="1"/>
      <c r="B973" s="68"/>
      <c r="C973" s="68"/>
      <c r="D973" s="1"/>
      <c r="E973" s="3"/>
      <c r="G973" s="63"/>
      <c r="H973" s="63"/>
      <c r="I973" s="1"/>
      <c r="J973" s="1"/>
      <c r="K973" s="1"/>
    </row>
    <row r="974" spans="1:11" s="144" customFormat="1" ht="13.5">
      <c r="A974" s="1"/>
      <c r="B974" s="68"/>
      <c r="C974" s="68"/>
      <c r="D974" s="1"/>
      <c r="E974" s="3"/>
      <c r="G974" s="63"/>
      <c r="H974" s="63"/>
      <c r="I974" s="1"/>
      <c r="J974" s="1"/>
      <c r="K974" s="1"/>
    </row>
    <row r="975" spans="1:11" s="144" customFormat="1" ht="13.5">
      <c r="A975" s="1"/>
      <c r="B975" s="68"/>
      <c r="C975" s="68"/>
      <c r="D975" s="1"/>
      <c r="E975" s="3"/>
      <c r="G975" s="63"/>
      <c r="H975" s="63"/>
      <c r="I975" s="1"/>
      <c r="J975" s="1"/>
      <c r="K975" s="1"/>
    </row>
    <row r="976" spans="1:11" s="144" customFormat="1" ht="13.5">
      <c r="A976" s="1"/>
      <c r="B976" s="68"/>
      <c r="C976" s="68"/>
      <c r="D976" s="1"/>
      <c r="E976" s="3"/>
      <c r="G976" s="63"/>
      <c r="H976" s="63"/>
      <c r="I976" s="1"/>
      <c r="J976" s="1"/>
      <c r="K976" s="1"/>
    </row>
  </sheetData>
  <sheetProtection/>
  <mergeCells count="7">
    <mergeCell ref="F1:H1"/>
    <mergeCell ref="F2:F3"/>
    <mergeCell ref="G2:G3"/>
    <mergeCell ref="H2:H3"/>
    <mergeCell ref="B1:B3"/>
    <mergeCell ref="C1:C3"/>
    <mergeCell ref="D1:D3"/>
  </mergeCells>
  <printOptions horizontalCentered="1"/>
  <pageMargins left="0.7480314960629921" right="0.7480314960629921" top="1.6535433070866143" bottom="0.984251968503937" header="0" footer="0"/>
  <pageSetup fitToHeight="6" fitToWidth="1" horizontalDpi="300" verticalDpi="300" orientation="landscape" scale="89" r:id="rId2"/>
  <headerFooter alignWithMargins="0">
    <oddHeader>&amp;L&amp;G&amp;C
&amp;"Arial,Negrita"GOBIERNO DEL ESTADO DE SONORA
DIRECCIÓN DE CRÉDITO PÚBLICO
SALDO Y SERVICIO DE DEUDA MUNICIPIOS NO AVALADOS 
SEPTIEMBRE 2016&amp;R
</oddHeader>
    <oddFooter>&amp;CPágina &amp;P de &amp;N</oddFooter>
  </headerFooter>
  <rowBreaks count="2" manualBreakCount="2">
    <brk id="25" max="7" man="1"/>
    <brk id="62" max="7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2"/>
  <sheetViews>
    <sheetView view="pageBreakPreview" zoomScaleSheetLayoutView="100" workbookViewId="0" topLeftCell="A1">
      <selection activeCell="E4" sqref="E4"/>
    </sheetView>
  </sheetViews>
  <sheetFormatPr defaultColWidth="11.421875" defaultRowHeight="12.75"/>
  <cols>
    <col min="1" max="1" width="29.00390625" style="1" customWidth="1"/>
    <col min="2" max="2" width="18.28125" style="1" bestFit="1" customWidth="1"/>
    <col min="3" max="3" width="18.28125" style="12" customWidth="1"/>
    <col min="4" max="4" width="17.140625" style="27" bestFit="1" customWidth="1"/>
    <col min="5" max="5" width="12.8515625" style="1" bestFit="1" customWidth="1"/>
    <col min="6" max="16384" width="11.421875" style="1" customWidth="1"/>
  </cols>
  <sheetData>
    <row r="1" spans="1:4" ht="12.75">
      <c r="A1" s="386" t="s">
        <v>253</v>
      </c>
      <c r="B1" s="405" t="s">
        <v>254</v>
      </c>
      <c r="C1" s="406" t="s">
        <v>404</v>
      </c>
      <c r="D1" s="15" t="s">
        <v>255</v>
      </c>
    </row>
    <row r="2" spans="1:4" ht="12.75">
      <c r="A2" s="386"/>
      <c r="B2" s="405"/>
      <c r="C2" s="406"/>
      <c r="D2" s="15" t="s">
        <v>256</v>
      </c>
    </row>
    <row r="3" spans="1:4" ht="12.75">
      <c r="A3" s="4"/>
      <c r="B3" s="4"/>
      <c r="C3" s="16"/>
      <c r="D3" s="17"/>
    </row>
    <row r="4" spans="1:4" ht="12.75">
      <c r="A4" s="18" t="s">
        <v>80</v>
      </c>
      <c r="B4" s="221">
        <f>' DEUDA MUNICIPIOS NO AVALADOS'!E4*12</f>
        <v>486406.07999999996</v>
      </c>
      <c r="C4" s="232">
        <v>12271093</v>
      </c>
      <c r="D4" s="229">
        <f>B4/C4</f>
        <v>0.039638366362311814</v>
      </c>
    </row>
    <row r="5" spans="1:4" ht="12.75" customHeight="1" hidden="1">
      <c r="A5" s="2" t="s">
        <v>257</v>
      </c>
      <c r="B5" s="222">
        <f>46940.12+4376.6</f>
        <v>51316.72</v>
      </c>
      <c r="C5" s="19"/>
      <c r="D5" s="230"/>
    </row>
    <row r="6" spans="1:4" ht="12.75" customHeight="1" hidden="1">
      <c r="A6" s="2" t="s">
        <v>258</v>
      </c>
      <c r="B6" s="222">
        <f>4399.94+44829.82</f>
        <v>49229.76</v>
      </c>
      <c r="C6" s="19"/>
      <c r="D6" s="230"/>
    </row>
    <row r="7" spans="1:4" ht="12.75" customHeight="1" hidden="1">
      <c r="A7" s="2" t="s">
        <v>259</v>
      </c>
      <c r="B7" s="222">
        <f>4326.26+47185.6</f>
        <v>51511.86</v>
      </c>
      <c r="C7" s="19"/>
      <c r="D7" s="230"/>
    </row>
    <row r="8" spans="1:4" ht="12.75" customHeight="1" hidden="1">
      <c r="A8" s="2" t="s">
        <v>260</v>
      </c>
      <c r="B8" s="222">
        <f>4450.45+43446.71</f>
        <v>47897.159999999996</v>
      </c>
      <c r="C8" s="19"/>
      <c r="D8" s="230"/>
    </row>
    <row r="9" spans="1:4" ht="12.75" customHeight="1" hidden="1">
      <c r="A9" s="2" t="s">
        <v>261</v>
      </c>
      <c r="B9" s="222">
        <f>4417.85+3151.51</f>
        <v>7569.360000000001</v>
      </c>
      <c r="C9" s="19"/>
      <c r="D9" s="230"/>
    </row>
    <row r="10" spans="1:4" ht="12.75" customHeight="1" hidden="1">
      <c r="A10" s="2" t="s">
        <v>262</v>
      </c>
      <c r="B10" s="222">
        <f>4430.24+41837.88</f>
        <v>46268.119999999995</v>
      </c>
      <c r="C10" s="19"/>
      <c r="D10" s="230"/>
    </row>
    <row r="11" spans="1:4" ht="12.75" customHeight="1" hidden="1">
      <c r="A11" s="2" t="s">
        <v>263</v>
      </c>
      <c r="B11" s="222">
        <f>43992.26+16138.99</f>
        <v>60131.25</v>
      </c>
      <c r="C11" s="19"/>
      <c r="D11" s="230"/>
    </row>
    <row r="12" spans="1:4" ht="12.75" customHeight="1" hidden="1">
      <c r="A12" s="2" t="s">
        <v>264</v>
      </c>
      <c r="B12" s="222">
        <v>46703.04229068</v>
      </c>
      <c r="C12" s="19"/>
      <c r="D12" s="230"/>
    </row>
    <row r="13" spans="1:4" ht="12.75" customHeight="1" hidden="1">
      <c r="A13" s="2" t="s">
        <v>265</v>
      </c>
      <c r="B13" s="222">
        <f>'[1]DEUDA MUNICIPIOS AVALadOS'!$E$5+'[1] DEUDA MUNICIPIOS NO AVALADOS'!$E$4</f>
        <v>16422.31</v>
      </c>
      <c r="C13" s="19"/>
      <c r="D13" s="230"/>
    </row>
    <row r="14" spans="1:4" ht="12.75" customHeight="1" hidden="1">
      <c r="A14" s="2" t="s">
        <v>266</v>
      </c>
      <c r="B14" s="222">
        <f>'[1]DEUDA MUNICIPIOS AVALadOS'!$E$5+'[1] DEUDA MUNICIPIOS NO AVALADOS'!$E$4</f>
        <v>16422.31</v>
      </c>
      <c r="C14" s="19"/>
      <c r="D14" s="230"/>
    </row>
    <row r="15" spans="1:4" ht="12.75" customHeight="1" hidden="1">
      <c r="A15" s="2" t="s">
        <v>267</v>
      </c>
      <c r="B15" s="222">
        <f>'[1]DEUDA MUNICIPIOS AVALadOS'!$E$5+'[1] DEUDA MUNICIPIOS NO AVALADOS'!$E$4</f>
        <v>16422.31</v>
      </c>
      <c r="C15" s="19"/>
      <c r="D15" s="230"/>
    </row>
    <row r="16" spans="1:4" ht="12.75" customHeight="1" hidden="1">
      <c r="A16" s="2" t="s">
        <v>268</v>
      </c>
      <c r="B16" s="222">
        <f>'[1]DEUDA MUNICIPIOS AVALadOS'!$E$5+'[1] DEUDA MUNICIPIOS NO AVALADOS'!$E$4</f>
        <v>16422.31</v>
      </c>
      <c r="C16" s="19"/>
      <c r="D16" s="230"/>
    </row>
    <row r="17" spans="1:4" ht="12.75">
      <c r="A17" s="18" t="s">
        <v>81</v>
      </c>
      <c r="B17" s="222">
        <f>SUM(' DEUDA MUNICIPIOS NO AVALADOS'!E7:E18)*12</f>
        <v>36543807.72</v>
      </c>
      <c r="C17" s="232">
        <v>377146883</v>
      </c>
      <c r="D17" s="229">
        <f>B17/C17</f>
        <v>0.09689542554167152</v>
      </c>
    </row>
    <row r="18" spans="1:5" ht="12.75" hidden="1">
      <c r="A18" s="2" t="s">
        <v>257</v>
      </c>
      <c r="B18" s="223">
        <f>7441.49+1031844.97</f>
        <v>1039286.46</v>
      </c>
      <c r="C18" s="19"/>
      <c r="D18" s="230"/>
      <c r="E18" s="3"/>
    </row>
    <row r="19" spans="1:7" ht="12.75" hidden="1">
      <c r="A19" s="2" t="s">
        <v>258</v>
      </c>
      <c r="B19" s="222">
        <f>973049.37+52268.44</f>
        <v>1025317.81</v>
      </c>
      <c r="C19" s="19"/>
      <c r="D19" s="230"/>
      <c r="G19" s="5"/>
    </row>
    <row r="20" spans="1:4" ht="12.75" hidden="1">
      <c r="A20" s="2" t="s">
        <v>259</v>
      </c>
      <c r="B20" s="222">
        <f>966238.26+52153.38</f>
        <v>1018391.64</v>
      </c>
      <c r="C20" s="19"/>
      <c r="D20" s="230"/>
    </row>
    <row r="21" spans="1:4" ht="12.75" hidden="1">
      <c r="A21" s="2" t="s">
        <v>260</v>
      </c>
      <c r="B21" s="222">
        <f>978054.71+52866.18</f>
        <v>1030920.89</v>
      </c>
      <c r="C21" s="20"/>
      <c r="D21" s="229"/>
    </row>
    <row r="22" spans="1:4" ht="12.75" hidden="1">
      <c r="A22" s="2" t="s">
        <v>261</v>
      </c>
      <c r="B22" s="222">
        <f>979997.46+52699.38</f>
        <v>1032696.84</v>
      </c>
      <c r="C22" s="20"/>
      <c r="D22" s="229"/>
    </row>
    <row r="23" spans="1:4" ht="12.75" hidden="1">
      <c r="A23" s="2" t="s">
        <v>262</v>
      </c>
      <c r="B23" s="222">
        <f>995619.58+52980.76</f>
        <v>1048600.3399999999</v>
      </c>
      <c r="C23" s="20"/>
      <c r="D23" s="229"/>
    </row>
    <row r="24" spans="1:4" ht="12.75" hidden="1">
      <c r="A24" s="2" t="s">
        <v>263</v>
      </c>
      <c r="B24" s="222">
        <f>52397.4+946460.9</f>
        <v>998858.3</v>
      </c>
      <c r="C24" s="20"/>
      <c r="D24" s="229"/>
    </row>
    <row r="25" spans="1:4" ht="12.75" hidden="1">
      <c r="A25" s="2" t="s">
        <v>264</v>
      </c>
      <c r="B25" s="222">
        <v>1085958.90909739</v>
      </c>
      <c r="C25" s="20"/>
      <c r="D25" s="229"/>
    </row>
    <row r="26" spans="1:4" ht="12.75" hidden="1">
      <c r="A26" s="2" t="s">
        <v>265</v>
      </c>
      <c r="B26" s="222">
        <v>1085958.90909739</v>
      </c>
      <c r="C26" s="20"/>
      <c r="D26" s="229"/>
    </row>
    <row r="27" spans="1:4" ht="12.75" hidden="1">
      <c r="A27" s="2" t="s">
        <v>266</v>
      </c>
      <c r="B27" s="222">
        <v>1085958.90909739</v>
      </c>
      <c r="C27" s="20"/>
      <c r="D27" s="229"/>
    </row>
    <row r="28" spans="1:4" ht="12.75" hidden="1">
      <c r="A28" s="2" t="s">
        <v>267</v>
      </c>
      <c r="B28" s="222">
        <v>1085958.90909739</v>
      </c>
      <c r="C28" s="20"/>
      <c r="D28" s="229"/>
    </row>
    <row r="29" spans="1:4" ht="12.75" hidden="1">
      <c r="A29" s="2" t="s">
        <v>268</v>
      </c>
      <c r="B29" s="222">
        <v>1085958.90909739</v>
      </c>
      <c r="C29" s="20"/>
      <c r="D29" s="229"/>
    </row>
    <row r="30" spans="1:4" ht="12.75" hidden="1">
      <c r="A30" s="2"/>
      <c r="B30" s="222"/>
      <c r="C30" s="20"/>
      <c r="D30" s="229"/>
    </row>
    <row r="31" spans="1:4" ht="12.75">
      <c r="A31" s="18" t="s">
        <v>108</v>
      </c>
      <c r="B31" s="222">
        <f>' DEUDA MUNICIPIOS NO AVALADOS'!E19*12</f>
        <v>326098.8</v>
      </c>
      <c r="C31" s="232">
        <v>120827025</v>
      </c>
      <c r="D31" s="229">
        <f>B31/C31</f>
        <v>0.002698889590304818</v>
      </c>
    </row>
    <row r="32" spans="1:4" ht="12.75" hidden="1">
      <c r="A32" s="2" t="s">
        <v>257</v>
      </c>
      <c r="B32" s="222">
        <v>30751.54</v>
      </c>
      <c r="C32" s="19"/>
      <c r="D32" s="229"/>
    </row>
    <row r="33" spans="1:4" ht="12.75" hidden="1">
      <c r="A33" s="2" t="s">
        <v>258</v>
      </c>
      <c r="B33" s="224">
        <v>29083.72</v>
      </c>
      <c r="C33" s="19"/>
      <c r="D33" s="229"/>
    </row>
    <row r="34" spans="1:4" ht="12.75" hidden="1">
      <c r="A34" s="2" t="s">
        <v>259</v>
      </c>
      <c r="B34" s="224">
        <v>30571.91</v>
      </c>
      <c r="C34" s="19"/>
      <c r="D34" s="229"/>
    </row>
    <row r="35" spans="1:4" ht="12.75" hidden="1">
      <c r="A35" s="2" t="s">
        <v>260</v>
      </c>
      <c r="B35" s="222">
        <v>29231.97</v>
      </c>
      <c r="C35" s="19"/>
      <c r="D35" s="229"/>
    </row>
    <row r="36" spans="1:4" ht="12.75" hidden="1">
      <c r="A36" s="2" t="s">
        <v>261</v>
      </c>
      <c r="B36" s="222">
        <v>7071.4</v>
      </c>
      <c r="C36" s="19"/>
      <c r="D36" s="229"/>
    </row>
    <row r="37" spans="1:4" ht="12.75" hidden="1">
      <c r="A37" s="2" t="s">
        <v>262</v>
      </c>
      <c r="B37" s="222">
        <v>28049.17</v>
      </c>
      <c r="C37" s="19"/>
      <c r="D37" s="229"/>
    </row>
    <row r="38" spans="1:4" ht="12.75" hidden="1">
      <c r="A38" s="2" t="s">
        <v>263</v>
      </c>
      <c r="B38" s="222">
        <v>10819.99</v>
      </c>
      <c r="C38" s="19"/>
      <c r="D38" s="229"/>
    </row>
    <row r="39" spans="1:4" ht="12.75" hidden="1">
      <c r="A39" s="2" t="s">
        <v>264</v>
      </c>
      <c r="B39" s="222">
        <v>28345.309999999998</v>
      </c>
      <c r="C39" s="19"/>
      <c r="D39" s="229"/>
    </row>
    <row r="40" spans="1:4" ht="12.75" hidden="1">
      <c r="A40" s="2" t="s">
        <v>265</v>
      </c>
      <c r="B40" s="222">
        <f>'[1] DEUDA MUNICIPIOS NO AVALADOS'!$E$19</f>
        <v>7850.69</v>
      </c>
      <c r="C40" s="19"/>
      <c r="D40" s="229"/>
    </row>
    <row r="41" spans="1:4" ht="12.75" hidden="1">
      <c r="A41" s="2" t="s">
        <v>266</v>
      </c>
      <c r="B41" s="222">
        <f>'[1] DEUDA MUNICIPIOS NO AVALADOS'!$E$19</f>
        <v>7850.69</v>
      </c>
      <c r="C41" s="19"/>
      <c r="D41" s="229"/>
    </row>
    <row r="42" spans="1:4" ht="12.75" hidden="1">
      <c r="A42" s="2" t="s">
        <v>267</v>
      </c>
      <c r="B42" s="222">
        <f>'[1] DEUDA MUNICIPIOS NO AVALADOS'!$E$19</f>
        <v>7850.69</v>
      </c>
      <c r="C42" s="19"/>
      <c r="D42" s="229"/>
    </row>
    <row r="43" spans="1:4" ht="12.75" hidden="1">
      <c r="A43" s="2" t="s">
        <v>268</v>
      </c>
      <c r="B43" s="222">
        <f>'[1] DEUDA MUNICIPIOS NO AVALADOS'!$E$19</f>
        <v>7850.69</v>
      </c>
      <c r="C43" s="19"/>
      <c r="D43" s="229"/>
    </row>
    <row r="44" spans="1:4" ht="12.75" hidden="1">
      <c r="A44" s="2"/>
      <c r="B44" s="222"/>
      <c r="C44" s="19"/>
      <c r="D44" s="229"/>
    </row>
    <row r="45" spans="1:4" ht="12.75" hidden="1">
      <c r="A45" s="2" t="s">
        <v>257</v>
      </c>
      <c r="B45" s="222">
        <v>30196.11</v>
      </c>
      <c r="C45" s="19"/>
      <c r="D45" s="229"/>
    </row>
    <row r="46" spans="1:4" ht="12.75" hidden="1">
      <c r="A46" s="2" t="s">
        <v>258</v>
      </c>
      <c r="B46" s="222">
        <v>30357.33</v>
      </c>
      <c r="C46" s="19"/>
      <c r="D46" s="229"/>
    </row>
    <row r="47" spans="1:4" ht="12.75" hidden="1">
      <c r="A47" s="2" t="s">
        <v>259</v>
      </c>
      <c r="B47" s="222">
        <v>29848.65</v>
      </c>
      <c r="C47" s="19"/>
      <c r="D47" s="229"/>
    </row>
    <row r="48" spans="1:4" ht="12.75" hidden="1">
      <c r="A48" s="2" t="s">
        <v>260</v>
      </c>
      <c r="B48" s="222">
        <v>30705.34</v>
      </c>
      <c r="C48" s="19"/>
      <c r="D48" s="229"/>
    </row>
    <row r="49" spans="1:4" ht="12.75" hidden="1">
      <c r="A49" s="2" t="s">
        <v>261</v>
      </c>
      <c r="B49" s="222">
        <v>30480.65</v>
      </c>
      <c r="C49" s="19"/>
      <c r="D49" s="229"/>
    </row>
    <row r="50" spans="1:4" ht="12.75" hidden="1">
      <c r="A50" s="2" t="s">
        <v>262</v>
      </c>
      <c r="B50" s="222">
        <v>30566.22</v>
      </c>
      <c r="C50" s="19"/>
      <c r="D50" s="229"/>
    </row>
    <row r="51" spans="1:4" ht="12.75" hidden="1">
      <c r="A51" s="2" t="s">
        <v>263</v>
      </c>
      <c r="B51" s="222">
        <v>30352.39</v>
      </c>
      <c r="C51" s="19"/>
      <c r="D51" s="229"/>
    </row>
    <row r="52" spans="1:4" ht="12.75" hidden="1">
      <c r="A52" s="2" t="s">
        <v>264</v>
      </c>
      <c r="B52" s="222">
        <v>30519.218979580008</v>
      </c>
      <c r="C52" s="19"/>
      <c r="D52" s="229"/>
    </row>
    <row r="53" spans="1:4" ht="12.75" hidden="1">
      <c r="A53" s="2" t="s">
        <v>265</v>
      </c>
      <c r="B53" s="222">
        <f>'[1]DEUDA MUNICIPIOS AVALadOS'!$E$15</f>
        <v>32512.23</v>
      </c>
      <c r="C53" s="19"/>
      <c r="D53" s="229"/>
    </row>
    <row r="54" spans="1:4" ht="12.75" hidden="1">
      <c r="A54" s="2" t="s">
        <v>266</v>
      </c>
      <c r="B54" s="222">
        <f>'[1]DEUDA MUNICIPIOS AVALadOS'!$E$15</f>
        <v>32512.23</v>
      </c>
      <c r="C54" s="19"/>
      <c r="D54" s="229"/>
    </row>
    <row r="55" spans="1:4" ht="12.75" hidden="1">
      <c r="A55" s="2" t="s">
        <v>267</v>
      </c>
      <c r="B55" s="222">
        <f>'[1]DEUDA MUNICIPIOS AVALadOS'!$E$15</f>
        <v>32512.23</v>
      </c>
      <c r="C55" s="19"/>
      <c r="D55" s="229"/>
    </row>
    <row r="56" spans="1:4" ht="12.75" hidden="1">
      <c r="A56" s="2" t="s">
        <v>268</v>
      </c>
      <c r="B56" s="222">
        <f>'[1]DEUDA MUNICIPIOS AVALadOS'!$E$15</f>
        <v>32512.23</v>
      </c>
      <c r="C56" s="19"/>
      <c r="D56" s="230"/>
    </row>
    <row r="57" spans="1:4" ht="12.75" hidden="1">
      <c r="A57" s="2"/>
      <c r="B57" s="222"/>
      <c r="C57" s="19"/>
      <c r="D57" s="230"/>
    </row>
    <row r="58" spans="1:4" ht="12.75" hidden="1">
      <c r="A58" s="2" t="s">
        <v>257</v>
      </c>
      <c r="B58" s="222">
        <v>2055.04</v>
      </c>
      <c r="C58" s="19"/>
      <c r="D58" s="229"/>
    </row>
    <row r="59" spans="1:4" ht="12.75" hidden="1">
      <c r="A59" s="2" t="s">
        <v>258</v>
      </c>
      <c r="B59" s="222">
        <v>2066.02</v>
      </c>
      <c r="C59" s="19"/>
      <c r="D59" s="229"/>
    </row>
    <row r="60" spans="1:4" ht="12.75" hidden="1">
      <c r="A60" s="2" t="s">
        <v>259</v>
      </c>
      <c r="B60" s="222">
        <v>2031.35</v>
      </c>
      <c r="C60" s="19"/>
      <c r="D60" s="229"/>
    </row>
    <row r="61" spans="1:4" ht="12.75" hidden="1">
      <c r="A61" s="2" t="s">
        <v>260</v>
      </c>
      <c r="B61" s="222">
        <v>2089.69</v>
      </c>
      <c r="C61" s="19"/>
      <c r="D61" s="229"/>
    </row>
    <row r="62" spans="1:4" ht="12.75" hidden="1">
      <c r="A62" s="2" t="s">
        <v>261</v>
      </c>
      <c r="B62" s="222">
        <v>2074.37</v>
      </c>
      <c r="C62" s="19"/>
      <c r="D62" s="229"/>
    </row>
    <row r="63" spans="1:4" ht="12.75" hidden="1">
      <c r="A63" s="2" t="s">
        <v>262</v>
      </c>
      <c r="B63" s="222">
        <v>2080.21</v>
      </c>
      <c r="C63" s="19"/>
      <c r="D63" s="229"/>
    </row>
    <row r="64" spans="1:4" ht="12.75" hidden="1">
      <c r="A64" s="2" t="s">
        <v>263</v>
      </c>
      <c r="B64" s="222">
        <v>2065.64</v>
      </c>
      <c r="C64" s="19"/>
      <c r="D64" s="229"/>
    </row>
    <row r="65" spans="1:4" ht="12.75" hidden="1">
      <c r="A65" s="2" t="s">
        <v>264</v>
      </c>
      <c r="B65" s="222">
        <v>2077.01635036</v>
      </c>
      <c r="C65" s="19"/>
      <c r="D65" s="229"/>
    </row>
    <row r="66" spans="1:4" ht="12.75" hidden="1">
      <c r="A66" s="2" t="s">
        <v>265</v>
      </c>
      <c r="B66" s="222">
        <f>'[1]DEUDA MUNICIPIOS AVALadOS'!$E$19</f>
        <v>2212.65</v>
      </c>
      <c r="C66" s="19"/>
      <c r="D66" s="229"/>
    </row>
    <row r="67" spans="1:4" ht="12.75" hidden="1">
      <c r="A67" s="2" t="s">
        <v>266</v>
      </c>
      <c r="B67" s="222">
        <f>'[1]DEUDA MUNICIPIOS AVALadOS'!$E$19</f>
        <v>2212.65</v>
      </c>
      <c r="C67" s="19"/>
      <c r="D67" s="229"/>
    </row>
    <row r="68" spans="1:4" ht="12.75" hidden="1">
      <c r="A68" s="2" t="s">
        <v>267</v>
      </c>
      <c r="B68" s="222">
        <f>'[1]DEUDA MUNICIPIOS AVALadOS'!$E$19</f>
        <v>2212.65</v>
      </c>
      <c r="C68" s="19"/>
      <c r="D68" s="229"/>
    </row>
    <row r="69" spans="1:4" ht="12.75" hidden="1">
      <c r="A69" s="2" t="s">
        <v>268</v>
      </c>
      <c r="B69" s="222">
        <f>'[1]DEUDA MUNICIPIOS AVALadOS'!$E$19</f>
        <v>2212.65</v>
      </c>
      <c r="C69" s="19"/>
      <c r="D69" s="230"/>
    </row>
    <row r="70" spans="1:4" ht="12.75" hidden="1">
      <c r="A70" s="2"/>
      <c r="B70" s="222"/>
      <c r="C70" s="19"/>
      <c r="D70" s="230"/>
    </row>
    <row r="71" spans="1:4" ht="13.5" customHeight="1">
      <c r="A71" s="18" t="s">
        <v>82</v>
      </c>
      <c r="B71" s="222">
        <f>SUM(' DEUDA MUNICIPIOS NO AVALADOS'!E22:E23)*12</f>
        <v>367054.44</v>
      </c>
      <c r="C71" s="232">
        <v>61833139</v>
      </c>
      <c r="D71" s="229">
        <f>B71/C71</f>
        <v>0.005936209060969718</v>
      </c>
    </row>
    <row r="72" spans="1:4" ht="12.75" hidden="1">
      <c r="A72" s="2" t="s">
        <v>257</v>
      </c>
      <c r="B72" s="222">
        <f>3561.33+34614.06</f>
        <v>38175.39</v>
      </c>
      <c r="C72" s="19"/>
      <c r="D72" s="229"/>
    </row>
    <row r="73" spans="1:4" ht="12.75" hidden="1">
      <c r="A73" s="2" t="s">
        <v>258</v>
      </c>
      <c r="B73" s="222">
        <f>3580.36+35745.87</f>
        <v>39326.23</v>
      </c>
      <c r="C73" s="19"/>
      <c r="D73" s="229"/>
    </row>
    <row r="74" spans="1:4" ht="12.75" hidden="1">
      <c r="A74" s="2" t="s">
        <v>259</v>
      </c>
      <c r="B74" s="222">
        <f>3520.34+3431.09</f>
        <v>6951.43</v>
      </c>
      <c r="C74" s="19"/>
      <c r="D74" s="229"/>
    </row>
    <row r="75" spans="1:4" ht="12.75" hidden="1">
      <c r="A75" s="2" t="s">
        <v>260</v>
      </c>
      <c r="B75" s="222">
        <f>3621.39+33609.68</f>
        <v>37231.07</v>
      </c>
      <c r="C75" s="19"/>
      <c r="D75" s="229"/>
    </row>
    <row r="76" spans="1:4" ht="12.75" hidden="1">
      <c r="A76" s="2" t="s">
        <v>261</v>
      </c>
      <c r="B76" s="222">
        <f>3594.92+32315.3</f>
        <v>35910.22</v>
      </c>
      <c r="C76" s="19"/>
      <c r="D76" s="229"/>
    </row>
    <row r="77" spans="1:4" ht="12.75" hidden="1">
      <c r="A77" s="2" t="s">
        <v>262</v>
      </c>
      <c r="B77" s="222">
        <f>9696.61+32748.03</f>
        <v>42444.64</v>
      </c>
      <c r="C77" s="19"/>
      <c r="D77" s="229"/>
    </row>
    <row r="78" spans="1:4" ht="12.75" hidden="1">
      <c r="A78" s="2" t="s">
        <v>263</v>
      </c>
      <c r="B78" s="222">
        <f>33579.79+32823.83</f>
        <v>66403.62</v>
      </c>
      <c r="C78" s="19"/>
      <c r="D78" s="229"/>
    </row>
    <row r="79" spans="1:4" ht="12.75" hidden="1">
      <c r="A79" s="2" t="s">
        <v>264</v>
      </c>
      <c r="B79" s="222">
        <v>36447.52229612</v>
      </c>
      <c r="C79" s="19"/>
      <c r="D79" s="229"/>
    </row>
    <row r="80" spans="1:4" ht="12.75" hidden="1">
      <c r="A80" s="2" t="s">
        <v>265</v>
      </c>
      <c r="B80" s="222">
        <f>'[1]DEUDA MUNICIPIOS AVALadOS'!$E$23+'[1] DEUDA MUNICIPIOS NO AVALADOS'!$E$22+'[1] DEUDA MUNICIPIOS NO AVALADOS'!$E$23</f>
        <v>32888.6</v>
      </c>
      <c r="C80" s="19"/>
      <c r="D80" s="229"/>
    </row>
    <row r="81" spans="1:4" ht="12.75" hidden="1">
      <c r="A81" s="2" t="s">
        <v>266</v>
      </c>
      <c r="B81" s="222">
        <f>'[1]DEUDA MUNICIPIOS AVALadOS'!$E$23+'[1] DEUDA MUNICIPIOS NO AVALADOS'!$E$22+'[1] DEUDA MUNICIPIOS NO AVALADOS'!$E$23</f>
        <v>32888.6</v>
      </c>
      <c r="C81" s="19"/>
      <c r="D81" s="229"/>
    </row>
    <row r="82" spans="1:4" ht="12.75" hidden="1">
      <c r="A82" s="2" t="s">
        <v>267</v>
      </c>
      <c r="B82" s="222">
        <f>'[1]DEUDA MUNICIPIOS AVALadOS'!$E$23+'[1] DEUDA MUNICIPIOS NO AVALADOS'!$E$22+'[1] DEUDA MUNICIPIOS NO AVALADOS'!$E$23</f>
        <v>32888.6</v>
      </c>
      <c r="C82" s="19"/>
      <c r="D82" s="229"/>
    </row>
    <row r="83" spans="1:4" ht="12.75" hidden="1">
      <c r="A83" s="2" t="s">
        <v>268</v>
      </c>
      <c r="B83" s="222">
        <f>'[1]DEUDA MUNICIPIOS AVALadOS'!$E$23+'[1] DEUDA MUNICIPIOS NO AVALADOS'!$E$22+'[1] DEUDA MUNICIPIOS NO AVALADOS'!$E$23</f>
        <v>32888.6</v>
      </c>
      <c r="C83" s="19"/>
      <c r="D83" s="230"/>
    </row>
    <row r="84" spans="1:4" ht="12.75" hidden="1">
      <c r="A84" s="2"/>
      <c r="B84" s="222"/>
      <c r="C84" s="19"/>
      <c r="D84" s="230"/>
    </row>
    <row r="85" spans="1:4" ht="12.75">
      <c r="A85" s="18" t="s">
        <v>83</v>
      </c>
      <c r="B85" s="225">
        <f>' DEUDA MUNICIPIOS NO AVALADOS'!E26*12</f>
        <v>207193.68</v>
      </c>
      <c r="C85" s="232">
        <v>9876034</v>
      </c>
      <c r="D85" s="229">
        <f>B85/C85</f>
        <v>0.020979441747567898</v>
      </c>
    </row>
    <row r="86" spans="1:4" ht="12.75" hidden="1">
      <c r="A86" s="2" t="s">
        <v>257</v>
      </c>
      <c r="B86" s="222">
        <f>2667.27+19076.2</f>
        <v>21743.47</v>
      </c>
      <c r="C86" s="4"/>
      <c r="D86" s="229"/>
    </row>
    <row r="87" spans="1:4" ht="12.75" hidden="1">
      <c r="A87" s="2" t="s">
        <v>258</v>
      </c>
      <c r="B87" s="222">
        <f>19293.27+2681.55</f>
        <v>21974.82</v>
      </c>
      <c r="C87" s="19"/>
      <c r="D87" s="229"/>
    </row>
    <row r="88" spans="1:4" ht="12.75" hidden="1">
      <c r="A88" s="2" t="s">
        <v>259</v>
      </c>
      <c r="B88" s="222">
        <f>17957.15+2636.59</f>
        <v>20593.74</v>
      </c>
      <c r="C88" s="19"/>
      <c r="D88" s="229"/>
    </row>
    <row r="89" spans="1:4" ht="12.75" hidden="1">
      <c r="A89" s="2" t="s">
        <v>260</v>
      </c>
      <c r="B89" s="222">
        <f>18098.06+2712.26</f>
        <v>20810.32</v>
      </c>
      <c r="C89" s="19"/>
      <c r="D89" s="229"/>
    </row>
    <row r="90" spans="1:4" ht="12.75" hidden="1">
      <c r="A90" s="2" t="s">
        <v>261</v>
      </c>
      <c r="B90" s="222">
        <f>7193.05+2692.44</f>
        <v>9885.49</v>
      </c>
      <c r="C90" s="19"/>
      <c r="D90" s="229"/>
    </row>
    <row r="91" spans="1:4" ht="12.75" hidden="1">
      <c r="A91" s="2" t="s">
        <v>262</v>
      </c>
      <c r="B91" s="222">
        <f>17821.62+9696.61</f>
        <v>27518.23</v>
      </c>
      <c r="C91" s="19"/>
      <c r="D91" s="229"/>
    </row>
    <row r="92" spans="1:4" ht="12.75" hidden="1">
      <c r="A92" s="2" t="s">
        <v>263</v>
      </c>
      <c r="B92" s="222">
        <f>2681.06+6874.7</f>
        <v>9555.76</v>
      </c>
      <c r="C92" s="19"/>
      <c r="D92" s="229"/>
    </row>
    <row r="93" spans="1:4" ht="12.75" hidden="1">
      <c r="A93" s="2" t="s">
        <v>264</v>
      </c>
      <c r="B93" s="222">
        <v>20705.6073237</v>
      </c>
      <c r="C93" s="19"/>
      <c r="D93" s="229"/>
    </row>
    <row r="94" spans="1:4" ht="12.75" hidden="1">
      <c r="A94" s="2" t="s">
        <v>265</v>
      </c>
      <c r="B94" s="222">
        <f>'[1]DEUDA MUNICIPIOS AVALadOS'!$E$27+'[1] DEUDA MUNICIPIOS NO AVALADOS'!$E$26</f>
        <v>7859.96</v>
      </c>
      <c r="C94" s="19"/>
      <c r="D94" s="229"/>
    </row>
    <row r="95" spans="1:4" ht="12.75" hidden="1">
      <c r="A95" s="2" t="s">
        <v>266</v>
      </c>
      <c r="B95" s="222">
        <f>'[1]DEUDA MUNICIPIOS AVALadOS'!$E$27+'[1] DEUDA MUNICIPIOS NO AVALADOS'!$E$26</f>
        <v>7859.96</v>
      </c>
      <c r="C95" s="19"/>
      <c r="D95" s="229"/>
    </row>
    <row r="96" spans="1:4" ht="12.75" hidden="1">
      <c r="A96" s="2" t="s">
        <v>267</v>
      </c>
      <c r="B96" s="222">
        <f>'[1]DEUDA MUNICIPIOS AVALadOS'!$E$27+'[1] DEUDA MUNICIPIOS NO AVALADOS'!$E$26</f>
        <v>7859.96</v>
      </c>
      <c r="C96" s="19"/>
      <c r="D96" s="229"/>
    </row>
    <row r="97" spans="1:4" ht="12.75" hidden="1">
      <c r="A97" s="2" t="s">
        <v>268</v>
      </c>
      <c r="B97" s="222">
        <f>'[1]DEUDA MUNICIPIOS AVALadOS'!$E$27+'[1] DEUDA MUNICIPIOS NO AVALADOS'!$E$26</f>
        <v>7859.96</v>
      </c>
      <c r="C97" s="19"/>
      <c r="D97" s="230"/>
    </row>
    <row r="98" spans="1:4" ht="12.75" hidden="1">
      <c r="A98" s="2"/>
      <c r="B98" s="222"/>
      <c r="C98" s="19"/>
      <c r="D98" s="230"/>
    </row>
    <row r="99" spans="1:4" ht="12.75">
      <c r="A99" s="18" t="s">
        <v>113</v>
      </c>
      <c r="B99" s="222">
        <f>' DEUDA MUNICIPIOS NO AVALADOS'!E29*12</f>
        <v>298650</v>
      </c>
      <c r="C99" s="232">
        <v>10719695</v>
      </c>
      <c r="D99" s="230">
        <f>B99/C99</f>
        <v>0.027859934447761806</v>
      </c>
    </row>
    <row r="100" spans="1:4" ht="12.75" hidden="1">
      <c r="A100" s="2" t="s">
        <v>257</v>
      </c>
      <c r="B100" s="222">
        <v>27691.11</v>
      </c>
      <c r="C100" s="19"/>
      <c r="D100" s="230"/>
    </row>
    <row r="101" spans="1:4" ht="12.75" hidden="1">
      <c r="A101" s="2" t="s">
        <v>258</v>
      </c>
      <c r="B101" s="222">
        <v>28700.94</v>
      </c>
      <c r="C101" s="19"/>
      <c r="D101" s="230"/>
    </row>
    <row r="102" spans="1:4" ht="12.75" hidden="1">
      <c r="A102" s="2" t="s">
        <v>259</v>
      </c>
      <c r="B102" s="222">
        <v>26775.019999999997</v>
      </c>
      <c r="C102" s="19"/>
      <c r="D102" s="230"/>
    </row>
    <row r="103" spans="1:4" ht="12.75" hidden="1">
      <c r="A103" s="2" t="s">
        <v>260</v>
      </c>
      <c r="B103" s="222">
        <v>26685.64</v>
      </c>
      <c r="C103" s="19"/>
      <c r="D103" s="230"/>
    </row>
    <row r="104" spans="1:4" ht="12.75" hidden="1">
      <c r="A104" s="2" t="s">
        <v>261</v>
      </c>
      <c r="B104" s="222">
        <v>26931.079999999998</v>
      </c>
      <c r="C104" s="19"/>
      <c r="D104" s="230"/>
    </row>
    <row r="105" spans="1:4" ht="12.75" hidden="1">
      <c r="A105" s="2" t="s">
        <v>262</v>
      </c>
      <c r="B105" s="222">
        <v>26186.79</v>
      </c>
      <c r="C105" s="19"/>
      <c r="D105" s="230"/>
    </row>
    <row r="106" spans="1:4" ht="12.75" hidden="1">
      <c r="A106" s="2" t="s">
        <v>263</v>
      </c>
      <c r="B106" s="222">
        <v>26139.21</v>
      </c>
      <c r="C106" s="19"/>
      <c r="D106" s="230"/>
    </row>
    <row r="107" spans="1:4" ht="12.75" hidden="1">
      <c r="A107" s="2" t="s">
        <v>264</v>
      </c>
      <c r="B107" s="222">
        <v>26703.04</v>
      </c>
      <c r="C107" s="19"/>
      <c r="D107" s="230"/>
    </row>
    <row r="108" spans="1:4" ht="12.75" hidden="1">
      <c r="A108" s="2" t="s">
        <v>265</v>
      </c>
      <c r="B108" s="222">
        <f>'[1] DEUDA MUNICIPIOS NO AVALADOS'!$E$29</f>
        <v>23511.109999999997</v>
      </c>
      <c r="C108" s="19"/>
      <c r="D108" s="230"/>
    </row>
    <row r="109" spans="1:4" ht="12.75" hidden="1">
      <c r="A109" s="2" t="s">
        <v>266</v>
      </c>
      <c r="B109" s="222">
        <f>'[1] DEUDA MUNICIPIOS NO AVALADOS'!$E$29</f>
        <v>23511.109999999997</v>
      </c>
      <c r="C109" s="19"/>
      <c r="D109" s="230"/>
    </row>
    <row r="110" spans="1:4" ht="12.75" hidden="1">
      <c r="A110" s="2" t="s">
        <v>267</v>
      </c>
      <c r="B110" s="222">
        <f>'[1] DEUDA MUNICIPIOS NO AVALADOS'!$E$29</f>
        <v>23511.109999999997</v>
      </c>
      <c r="C110" s="19"/>
      <c r="D110" s="230"/>
    </row>
    <row r="111" spans="1:4" ht="12.75" hidden="1">
      <c r="A111" s="2" t="s">
        <v>268</v>
      </c>
      <c r="B111" s="222">
        <f>'[1] DEUDA MUNICIPIOS NO AVALADOS'!$E$29</f>
        <v>23511.109999999997</v>
      </c>
      <c r="C111" s="19"/>
      <c r="D111" s="230"/>
    </row>
    <row r="112" spans="1:4" ht="12.75" hidden="1">
      <c r="A112" s="2"/>
      <c r="B112" s="222"/>
      <c r="C112" s="19"/>
      <c r="D112" s="230"/>
    </row>
    <row r="113" spans="1:4" ht="12.75">
      <c r="A113" s="18" t="s">
        <v>115</v>
      </c>
      <c r="B113" s="222">
        <f>SUM(' DEUDA MUNICIPIOS NO AVALADOS'!E32:E36)*12</f>
        <v>7278879.840000001</v>
      </c>
      <c r="C113" s="232">
        <v>73810620</v>
      </c>
      <c r="D113" s="230">
        <f>B113/C113</f>
        <v>0.0986156171022544</v>
      </c>
    </row>
    <row r="114" spans="1:4" ht="12.75" hidden="1">
      <c r="A114" s="2" t="s">
        <v>257</v>
      </c>
      <c r="B114" s="222">
        <v>147428.12</v>
      </c>
      <c r="C114" s="19"/>
      <c r="D114" s="230"/>
    </row>
    <row r="115" spans="1:4" ht="12.75" hidden="1">
      <c r="A115" s="2" t="s">
        <v>258</v>
      </c>
      <c r="B115" s="222">
        <v>145314.3</v>
      </c>
      <c r="C115" s="19"/>
      <c r="D115" s="230"/>
    </row>
    <row r="116" spans="1:4" ht="12.75" hidden="1">
      <c r="A116" s="2" t="s">
        <v>259</v>
      </c>
      <c r="B116" s="222">
        <v>148322.18</v>
      </c>
      <c r="C116" s="19"/>
      <c r="D116" s="230"/>
    </row>
    <row r="117" spans="1:4" ht="12.75" hidden="1">
      <c r="A117" s="2" t="s">
        <v>260</v>
      </c>
      <c r="B117" s="222">
        <v>141158.69</v>
      </c>
      <c r="C117" s="19"/>
      <c r="D117" s="230"/>
    </row>
    <row r="118" spans="1:4" ht="12.75" hidden="1">
      <c r="A118" s="2" t="s">
        <v>261</v>
      </c>
      <c r="B118" s="222">
        <v>175651.41</v>
      </c>
      <c r="C118" s="19"/>
      <c r="D118" s="230"/>
    </row>
    <row r="119" spans="1:4" ht="12.75" hidden="1">
      <c r="A119" s="2" t="s">
        <v>262</v>
      </c>
      <c r="B119" s="222">
        <v>179315.43</v>
      </c>
      <c r="C119" s="19"/>
      <c r="D119" s="230"/>
    </row>
    <row r="120" spans="1:4" ht="12.75" hidden="1">
      <c r="A120" s="2" t="s">
        <v>263</v>
      </c>
      <c r="B120" s="222">
        <v>172377.19</v>
      </c>
      <c r="C120" s="19"/>
      <c r="D120" s="230"/>
    </row>
    <row r="121" spans="1:4" ht="12.75" hidden="1">
      <c r="A121" s="2" t="s">
        <v>264</v>
      </c>
      <c r="B121" s="222">
        <v>175987.13</v>
      </c>
      <c r="C121" s="19"/>
      <c r="D121" s="230"/>
    </row>
    <row r="122" spans="1:4" ht="12.75" hidden="1">
      <c r="A122" s="2" t="s">
        <v>265</v>
      </c>
      <c r="B122" s="222">
        <f>'[1] DEUDA MUNICIPIOS NO AVALADOS'!$E$32+'[1] DEUDA MUNICIPIOS NO AVALADOS'!$E$33+'[1] DEUDA MUNICIPIOS NO AVALADOS'!$E$34</f>
        <v>158338.98</v>
      </c>
      <c r="C122" s="19"/>
      <c r="D122" s="230"/>
    </row>
    <row r="123" spans="1:4" ht="12.75" hidden="1">
      <c r="A123" s="2" t="s">
        <v>266</v>
      </c>
      <c r="B123" s="222">
        <f>'[1] DEUDA MUNICIPIOS NO AVALADOS'!$E$32+'[1] DEUDA MUNICIPIOS NO AVALADOS'!$E$33+'[1] DEUDA MUNICIPIOS NO AVALADOS'!$E$34</f>
        <v>158338.98</v>
      </c>
      <c r="C123" s="19"/>
      <c r="D123" s="230"/>
    </row>
    <row r="124" spans="1:4" ht="12.75" hidden="1">
      <c r="A124" s="2" t="s">
        <v>267</v>
      </c>
      <c r="B124" s="222">
        <f>'[1] DEUDA MUNICIPIOS NO AVALADOS'!$E$32+'[1] DEUDA MUNICIPIOS NO AVALADOS'!$E$33+'[1] DEUDA MUNICIPIOS NO AVALADOS'!$E$34</f>
        <v>158338.98</v>
      </c>
      <c r="C124" s="19"/>
      <c r="D124" s="230"/>
    </row>
    <row r="125" spans="1:4" ht="12.75" hidden="1">
      <c r="A125" s="2" t="s">
        <v>268</v>
      </c>
      <c r="B125" s="222">
        <f>'[1] DEUDA MUNICIPIOS NO AVALADOS'!$E$32+'[1] DEUDA MUNICIPIOS NO AVALADOS'!$E$33+'[1] DEUDA MUNICIPIOS NO AVALADOS'!$E$34</f>
        <v>158338.98</v>
      </c>
      <c r="C125" s="19"/>
      <c r="D125" s="230"/>
    </row>
    <row r="126" spans="1:4" ht="12.75" hidden="1">
      <c r="A126" s="2"/>
      <c r="B126" s="222"/>
      <c r="C126" s="19"/>
      <c r="D126" s="230"/>
    </row>
    <row r="127" spans="1:4" ht="12.75" hidden="1">
      <c r="A127" s="2" t="s">
        <v>257</v>
      </c>
      <c r="B127" s="222">
        <v>1978.44603946</v>
      </c>
      <c r="C127" s="4"/>
      <c r="D127" s="229"/>
    </row>
    <row r="128" spans="1:4" ht="12.75" hidden="1">
      <c r="A128" s="2" t="s">
        <v>258</v>
      </c>
      <c r="B128" s="222">
        <v>1989.0058002</v>
      </c>
      <c r="C128" s="19"/>
      <c r="D128" s="229"/>
    </row>
    <row r="129" spans="1:4" ht="12.75" hidden="1">
      <c r="A129" s="2" t="s">
        <v>259</v>
      </c>
      <c r="B129" s="222">
        <v>1955.6928502199999</v>
      </c>
      <c r="C129" s="19"/>
      <c r="D129" s="229"/>
    </row>
    <row r="130" spans="1:4" ht="12.75" hidden="1">
      <c r="A130" s="2" t="s">
        <v>260</v>
      </c>
      <c r="B130" s="222">
        <v>2011.8069514200001</v>
      </c>
      <c r="C130" s="19"/>
      <c r="D130" s="229"/>
    </row>
    <row r="131" spans="1:4" ht="12.75" hidden="1">
      <c r="A131" s="2" t="s">
        <v>261</v>
      </c>
      <c r="B131" s="222">
        <v>1997.1061666300002</v>
      </c>
      <c r="C131" s="19"/>
      <c r="D131" s="229"/>
    </row>
    <row r="132" spans="1:4" ht="12.75" hidden="1">
      <c r="A132" s="2" t="s">
        <v>262</v>
      </c>
      <c r="B132" s="222">
        <v>2002.70367702</v>
      </c>
      <c r="C132" s="19"/>
      <c r="D132" s="229"/>
    </row>
    <row r="133" spans="1:4" ht="12.75" hidden="1">
      <c r="A133" s="2" t="s">
        <v>263</v>
      </c>
      <c r="B133" s="222">
        <v>1988.70221226</v>
      </c>
      <c r="C133" s="19"/>
      <c r="D133" s="229"/>
    </row>
    <row r="134" spans="1:4" ht="12.75" hidden="1">
      <c r="A134" s="2" t="s">
        <v>264</v>
      </c>
      <c r="B134" s="222">
        <v>1999.5969584600002</v>
      </c>
      <c r="C134" s="19"/>
      <c r="D134" s="229"/>
    </row>
    <row r="135" spans="1:4" ht="12.75" hidden="1">
      <c r="A135" s="2" t="s">
        <v>265</v>
      </c>
      <c r="B135" s="222">
        <f>'[1]DEUDA MUNICIPIOS AVALadOS'!$E$31</f>
        <v>2130.21</v>
      </c>
      <c r="C135" s="19"/>
      <c r="D135" s="229"/>
    </row>
    <row r="136" spans="1:4" ht="12.75" hidden="1">
      <c r="A136" s="2" t="s">
        <v>266</v>
      </c>
      <c r="B136" s="222">
        <f>'[1]DEUDA MUNICIPIOS AVALadOS'!$E$31</f>
        <v>2130.21</v>
      </c>
      <c r="C136" s="19"/>
      <c r="D136" s="229"/>
    </row>
    <row r="137" spans="1:4" ht="12.75" hidden="1">
      <c r="A137" s="2" t="s">
        <v>267</v>
      </c>
      <c r="B137" s="222">
        <f>'[1]DEUDA MUNICIPIOS AVALadOS'!$E$31</f>
        <v>2130.21</v>
      </c>
      <c r="C137" s="19"/>
      <c r="D137" s="229"/>
    </row>
    <row r="138" spans="1:4" ht="12.75" hidden="1">
      <c r="A138" s="2" t="s">
        <v>268</v>
      </c>
      <c r="B138" s="222">
        <f>'[1]DEUDA MUNICIPIOS AVALadOS'!$E$31</f>
        <v>2130.21</v>
      </c>
      <c r="C138" s="19"/>
      <c r="D138" s="230"/>
    </row>
    <row r="139" spans="1:4" ht="12.75" hidden="1">
      <c r="A139" s="2"/>
      <c r="B139" s="222"/>
      <c r="C139" s="19"/>
      <c r="D139" s="230"/>
    </row>
    <row r="140" spans="1:4" ht="12.75">
      <c r="A140" s="18" t="s">
        <v>118</v>
      </c>
      <c r="B140" s="222">
        <f>SUM(' DEUDA MUNICIPIOS NO AVALADOS'!E42:E44)*12</f>
        <v>1293063.12</v>
      </c>
      <c r="C140" s="232">
        <v>75487526</v>
      </c>
      <c r="D140" s="230">
        <f>B140/C140</f>
        <v>0.017129493951093325</v>
      </c>
    </row>
    <row r="141" spans="1:4" ht="12.75" hidden="1">
      <c r="A141" s="2" t="s">
        <v>257</v>
      </c>
      <c r="B141" s="222">
        <v>131002.61</v>
      </c>
      <c r="C141" s="19"/>
      <c r="D141" s="230"/>
    </row>
    <row r="142" spans="1:4" ht="12.75" hidden="1">
      <c r="A142" s="2" t="s">
        <v>258</v>
      </c>
      <c r="B142" s="222">
        <v>128636.07</v>
      </c>
      <c r="C142" s="19"/>
      <c r="D142" s="230"/>
    </row>
    <row r="143" spans="1:4" ht="12.75" hidden="1">
      <c r="A143" s="2" t="s">
        <v>259</v>
      </c>
      <c r="B143" s="222">
        <v>133206.98</v>
      </c>
      <c r="C143" s="19"/>
      <c r="D143" s="230"/>
    </row>
    <row r="144" spans="1:4" ht="12.75" hidden="1">
      <c r="A144" s="2" t="s">
        <v>260</v>
      </c>
      <c r="B144" s="222">
        <v>124618.25</v>
      </c>
      <c r="C144" s="19"/>
      <c r="D144" s="230"/>
    </row>
    <row r="145" spans="1:4" ht="12.75" hidden="1">
      <c r="A145" s="2" t="s">
        <v>261</v>
      </c>
      <c r="B145" s="222">
        <v>125667.64</v>
      </c>
      <c r="C145" s="19"/>
      <c r="D145" s="230"/>
    </row>
    <row r="146" spans="1:4" ht="12.75" hidden="1">
      <c r="A146" s="2" t="s">
        <v>262</v>
      </c>
      <c r="B146" s="222">
        <v>219550.07</v>
      </c>
      <c r="C146" s="19"/>
      <c r="D146" s="230"/>
    </row>
    <row r="147" spans="1:4" ht="12.75" hidden="1">
      <c r="A147" s="2" t="s">
        <v>263</v>
      </c>
      <c r="B147" s="222">
        <v>261954.45</v>
      </c>
      <c r="C147" s="19"/>
      <c r="D147" s="230"/>
    </row>
    <row r="148" spans="1:4" ht="12.75" hidden="1">
      <c r="A148" s="2" t="s">
        <v>264</v>
      </c>
      <c r="B148" s="222">
        <v>261954.45</v>
      </c>
      <c r="C148" s="19"/>
      <c r="D148" s="230"/>
    </row>
    <row r="149" spans="1:4" ht="12.75" hidden="1">
      <c r="A149" s="2" t="s">
        <v>265</v>
      </c>
      <c r="B149" s="222">
        <v>261954.45</v>
      </c>
      <c r="C149" s="19"/>
      <c r="D149" s="230"/>
    </row>
    <row r="150" spans="1:4" ht="12.75" hidden="1">
      <c r="A150" s="2" t="s">
        <v>266</v>
      </c>
      <c r="B150" s="222">
        <v>261954.45</v>
      </c>
      <c r="C150" s="19"/>
      <c r="D150" s="230"/>
    </row>
    <row r="151" spans="1:4" ht="12.75" hidden="1">
      <c r="A151" s="2" t="s">
        <v>267</v>
      </c>
      <c r="B151" s="222">
        <v>261954.45</v>
      </c>
      <c r="C151" s="19"/>
      <c r="D151" s="230"/>
    </row>
    <row r="152" spans="1:4" ht="12.75" hidden="1">
      <c r="A152" s="2" t="s">
        <v>268</v>
      </c>
      <c r="B152" s="222">
        <v>261954.45</v>
      </c>
      <c r="C152" s="19"/>
      <c r="D152" s="230"/>
    </row>
    <row r="153" spans="1:4" ht="12.75">
      <c r="A153" s="18" t="s">
        <v>84</v>
      </c>
      <c r="B153" s="222">
        <f>' DEUDA MUNICIPIOS NO AVALADOS'!E39*12</f>
        <v>1070712.48</v>
      </c>
      <c r="C153" s="232">
        <v>24671778</v>
      </c>
      <c r="D153" s="229">
        <f>B153/C153</f>
        <v>0.04339826987742837</v>
      </c>
    </row>
    <row r="154" spans="1:4" ht="12.75" hidden="1">
      <c r="A154" s="2" t="s">
        <v>257</v>
      </c>
      <c r="B154" s="222">
        <v>12123.42</v>
      </c>
      <c r="C154" s="19"/>
      <c r="D154" s="229"/>
    </row>
    <row r="155" spans="1:4" ht="12.75" hidden="1">
      <c r="A155" s="2" t="s">
        <v>258</v>
      </c>
      <c r="B155" s="222">
        <v>12188.13</v>
      </c>
      <c r="C155" s="19"/>
      <c r="D155" s="229"/>
    </row>
    <row r="156" spans="1:4" ht="12.75" hidden="1">
      <c r="A156" s="2" t="s">
        <v>259</v>
      </c>
      <c r="B156" s="222">
        <v>11983.96</v>
      </c>
      <c r="C156" s="19"/>
      <c r="D156" s="229"/>
    </row>
    <row r="157" spans="1:4" ht="12.75" hidden="1">
      <c r="A157" s="2" t="s">
        <v>260</v>
      </c>
      <c r="B157" s="222">
        <v>12327.9</v>
      </c>
      <c r="C157" s="19"/>
      <c r="D157" s="229"/>
    </row>
    <row r="158" spans="1:4" ht="12.75" hidden="1">
      <c r="A158" s="2" t="s">
        <v>261</v>
      </c>
      <c r="B158" s="222">
        <v>12237.69</v>
      </c>
      <c r="C158" s="19"/>
      <c r="D158" s="229"/>
    </row>
    <row r="159" spans="1:4" ht="12.75" hidden="1">
      <c r="A159" s="2" t="s">
        <v>262</v>
      </c>
      <c r="B159" s="222">
        <v>12272.02</v>
      </c>
      <c r="C159" s="19"/>
      <c r="D159" s="229"/>
    </row>
    <row r="160" spans="1:4" ht="12.75" hidden="1">
      <c r="A160" s="2" t="s">
        <v>263</v>
      </c>
      <c r="B160" s="222">
        <v>12186.14</v>
      </c>
      <c r="C160" s="19"/>
      <c r="D160" s="229"/>
    </row>
    <row r="161" spans="1:4" ht="12.75" hidden="1">
      <c r="A161" s="2" t="s">
        <v>264</v>
      </c>
      <c r="B161" s="222">
        <v>12253.189417180001</v>
      </c>
      <c r="C161" s="19"/>
      <c r="D161" s="229"/>
    </row>
    <row r="162" spans="1:4" ht="12.75" hidden="1">
      <c r="A162" s="2" t="s">
        <v>265</v>
      </c>
      <c r="B162" s="222">
        <f>'[1]DEUDA MUNICIPIOS AVALadOS'!$E$35+'[1]DEUDA MUNICIPIOS AVALadOS'!$E$36</f>
        <v>13053.310000000001</v>
      </c>
      <c r="C162" s="19"/>
      <c r="D162" s="229"/>
    </row>
    <row r="163" spans="1:4" ht="12.75" hidden="1">
      <c r="A163" s="2" t="s">
        <v>266</v>
      </c>
      <c r="B163" s="222">
        <f>'[1]DEUDA MUNICIPIOS AVALadOS'!$E$35+'[1]DEUDA MUNICIPIOS AVALadOS'!$E$36</f>
        <v>13053.310000000001</v>
      </c>
      <c r="C163" s="19"/>
      <c r="D163" s="229"/>
    </row>
    <row r="164" spans="1:4" ht="12.75" hidden="1">
      <c r="A164" s="2" t="s">
        <v>267</v>
      </c>
      <c r="B164" s="222">
        <f>'[1]DEUDA MUNICIPIOS AVALadOS'!$E$35+'[1]DEUDA MUNICIPIOS AVALadOS'!$E$36</f>
        <v>13053.310000000001</v>
      </c>
      <c r="C164" s="19"/>
      <c r="D164" s="229"/>
    </row>
    <row r="165" spans="1:4" ht="12.75" hidden="1">
      <c r="A165" s="2" t="s">
        <v>268</v>
      </c>
      <c r="B165" s="222">
        <f>'[1]DEUDA MUNICIPIOS AVALadOS'!$E$35+'[1]DEUDA MUNICIPIOS AVALadOS'!$E$36</f>
        <v>13053.310000000001</v>
      </c>
      <c r="C165" s="19"/>
      <c r="D165" s="229"/>
    </row>
    <row r="166" spans="1:4" ht="12.75" hidden="1">
      <c r="A166" s="2"/>
      <c r="B166" s="222"/>
      <c r="C166" s="19"/>
      <c r="D166" s="229"/>
    </row>
    <row r="167" spans="1:4" ht="12.75">
      <c r="A167" s="18" t="s">
        <v>120</v>
      </c>
      <c r="B167" s="222">
        <f>SUM(' DEUDA MUNICIPIOS NO AVALADOS'!E47:E49)*12</f>
        <v>14460237.120000001</v>
      </c>
      <c r="C167" s="232">
        <v>313060057</v>
      </c>
      <c r="D167" s="229">
        <f>B167/C167</f>
        <v>0.046189977918518046</v>
      </c>
    </row>
    <row r="168" spans="1:4" ht="12.75" hidden="1">
      <c r="A168" s="2" t="s">
        <v>257</v>
      </c>
      <c r="B168" s="222">
        <v>367644.37</v>
      </c>
      <c r="C168" s="19"/>
      <c r="D168" s="229"/>
    </row>
    <row r="169" spans="1:4" ht="12.75" hidden="1">
      <c r="A169" s="2" t="s">
        <v>258</v>
      </c>
      <c r="B169" s="222">
        <v>351641.62</v>
      </c>
      <c r="C169" s="19"/>
      <c r="D169" s="229"/>
    </row>
    <row r="170" spans="1:4" ht="12.75" hidden="1">
      <c r="A170" s="2" t="s">
        <v>259</v>
      </c>
      <c r="B170" s="222">
        <v>349255.44</v>
      </c>
      <c r="C170" s="19"/>
      <c r="D170" s="229"/>
    </row>
    <row r="171" spans="1:4" ht="12.75" hidden="1">
      <c r="A171" s="2" t="s">
        <v>260</v>
      </c>
      <c r="B171" s="222">
        <v>349390.91</v>
      </c>
      <c r="C171" s="19"/>
      <c r="D171" s="229"/>
    </row>
    <row r="172" spans="1:4" ht="12.75" hidden="1">
      <c r="A172" s="2" t="s">
        <v>261</v>
      </c>
      <c r="B172" s="222">
        <v>348213.84</v>
      </c>
      <c r="C172" s="19"/>
      <c r="D172" s="229"/>
    </row>
    <row r="173" spans="1:4" ht="12.75" hidden="1">
      <c r="A173" s="2" t="s">
        <v>262</v>
      </c>
      <c r="B173" s="222">
        <v>344838.14</v>
      </c>
      <c r="C173" s="19"/>
      <c r="D173" s="229"/>
    </row>
    <row r="174" spans="1:4" ht="12.75" hidden="1">
      <c r="A174" s="2" t="s">
        <v>263</v>
      </c>
      <c r="B174" s="222">
        <v>342333.52</v>
      </c>
      <c r="C174" s="19"/>
      <c r="D174" s="229"/>
    </row>
    <row r="175" spans="1:4" ht="12.75" hidden="1">
      <c r="A175" s="2" t="s">
        <v>264</v>
      </c>
      <c r="B175" s="222">
        <v>499633.95</v>
      </c>
      <c r="C175" s="19"/>
      <c r="D175" s="229"/>
    </row>
    <row r="176" spans="1:4" ht="12.75" hidden="1">
      <c r="A176" s="2" t="s">
        <v>265</v>
      </c>
      <c r="B176" s="222">
        <f>'[1] DEUDA MUNICIPIOS NO AVALADOS'!$E$46+'[1] DEUDA MUNICIPIOS NO AVALADOS'!$E$47+'[1] DEUDA MUNICIPIOS NO AVALADOS'!$E$48+'[1] DEUDA MUNICIPIOS NO AVALADOS'!$E$49</f>
        <v>1350755.24</v>
      </c>
      <c r="C176" s="19"/>
      <c r="D176" s="229"/>
    </row>
    <row r="177" spans="1:4" ht="12.75" hidden="1">
      <c r="A177" s="2" t="s">
        <v>266</v>
      </c>
      <c r="B177" s="222">
        <f>'[1] DEUDA MUNICIPIOS NO AVALADOS'!$E$46+'[1] DEUDA MUNICIPIOS NO AVALADOS'!$E$47+'[1] DEUDA MUNICIPIOS NO AVALADOS'!$E$48+'[1] DEUDA MUNICIPIOS NO AVALADOS'!$E$49</f>
        <v>1350755.24</v>
      </c>
      <c r="C177" s="19"/>
      <c r="D177" s="229"/>
    </row>
    <row r="178" spans="1:4" ht="12.75" hidden="1">
      <c r="A178" s="2" t="s">
        <v>267</v>
      </c>
      <c r="B178" s="222">
        <f>'[1] DEUDA MUNICIPIOS NO AVALADOS'!$E$46+'[1] DEUDA MUNICIPIOS NO AVALADOS'!$E$47+'[1] DEUDA MUNICIPIOS NO AVALADOS'!$E$48+'[1] DEUDA MUNICIPIOS NO AVALADOS'!$E$49</f>
        <v>1350755.24</v>
      </c>
      <c r="C178" s="19"/>
      <c r="D178" s="229"/>
    </row>
    <row r="179" spans="1:4" ht="12.75" hidden="1">
      <c r="A179" s="2" t="s">
        <v>268</v>
      </c>
      <c r="B179" s="222">
        <f>'[1] DEUDA MUNICIPIOS NO AVALADOS'!$E$46+'[1] DEUDA MUNICIPIOS NO AVALADOS'!$E$47+'[1] DEUDA MUNICIPIOS NO AVALADOS'!$E$48+'[1] DEUDA MUNICIPIOS NO AVALADOS'!$E$49</f>
        <v>1350755.24</v>
      </c>
      <c r="C179" s="19"/>
      <c r="D179" s="229"/>
    </row>
    <row r="180" spans="1:4" ht="12.75" hidden="1">
      <c r="A180" s="2"/>
      <c r="B180" s="222"/>
      <c r="C180" s="19"/>
      <c r="D180" s="229"/>
    </row>
    <row r="181" spans="1:4" ht="12.75">
      <c r="A181" s="18" t="s">
        <v>124</v>
      </c>
      <c r="B181" s="222">
        <f>SUM(' DEUDA MUNICIPIOS NO AVALADOS'!E52:E62)*12</f>
        <v>47889644.88</v>
      </c>
      <c r="C181" s="232">
        <v>1563715917</v>
      </c>
      <c r="D181" s="229">
        <f>B181/C181</f>
        <v>0.030625540329522655</v>
      </c>
    </row>
    <row r="182" spans="1:4" ht="12.75" hidden="1">
      <c r="A182" s="2" t="s">
        <v>257</v>
      </c>
      <c r="B182" s="222">
        <v>2926541.75</v>
      </c>
      <c r="C182" s="19"/>
      <c r="D182" s="229"/>
    </row>
    <row r="183" spans="1:4" ht="12.75" hidden="1">
      <c r="A183" s="2" t="s">
        <v>258</v>
      </c>
      <c r="B183" s="222">
        <v>2931028.94</v>
      </c>
      <c r="C183" s="19"/>
      <c r="D183" s="229"/>
    </row>
    <row r="184" spans="1:4" ht="12.75" hidden="1">
      <c r="A184" s="2" t="s">
        <v>259</v>
      </c>
      <c r="B184" s="222">
        <v>2976449.88</v>
      </c>
      <c r="C184" s="19"/>
      <c r="D184" s="229"/>
    </row>
    <row r="185" spans="1:4" ht="12.75" hidden="1">
      <c r="A185" s="2" t="s">
        <v>260</v>
      </c>
      <c r="B185" s="222">
        <v>2707421.83</v>
      </c>
      <c r="C185" s="19"/>
      <c r="D185" s="229"/>
    </row>
    <row r="186" spans="1:4" ht="12.75" hidden="1">
      <c r="A186" s="2" t="s">
        <v>261</v>
      </c>
      <c r="B186" s="222">
        <v>2727254.9</v>
      </c>
      <c r="C186" s="19"/>
      <c r="D186" s="229"/>
    </row>
    <row r="187" spans="1:4" ht="12.75" hidden="1">
      <c r="A187" s="2" t="s">
        <v>262</v>
      </c>
      <c r="B187" s="222">
        <v>2810368.16</v>
      </c>
      <c r="C187" s="19"/>
      <c r="D187" s="229"/>
    </row>
    <row r="188" spans="1:4" ht="12.75" hidden="1">
      <c r="A188" s="2" t="s">
        <v>263</v>
      </c>
      <c r="B188" s="222">
        <v>2563522.95</v>
      </c>
      <c r="C188" s="19"/>
      <c r="D188" s="229"/>
    </row>
    <row r="189" spans="1:4" ht="12.75" hidden="1">
      <c r="A189" s="2" t="s">
        <v>264</v>
      </c>
      <c r="B189" s="222">
        <v>3079870.68</v>
      </c>
      <c r="C189" s="19"/>
      <c r="D189" s="229"/>
    </row>
    <row r="190" spans="1:4" ht="12.75" hidden="1">
      <c r="A190" s="2" t="s">
        <v>265</v>
      </c>
      <c r="B190" s="222" t="e">
        <f>'[1] DEUDA MUNICIPIOS NO AVALADOS'!#REF!+'[1] DEUDA MUNICIPIOS NO AVALADOS'!$E$55+'[1] DEUDA MUNICIPIOS NO AVALADOS'!$E$56</f>
        <v>#REF!</v>
      </c>
      <c r="C190" s="19"/>
      <c r="D190" s="229"/>
    </row>
    <row r="191" spans="1:4" ht="12.75" hidden="1">
      <c r="A191" s="2" t="s">
        <v>266</v>
      </c>
      <c r="B191" s="222" t="e">
        <f>'[1] DEUDA MUNICIPIOS NO AVALADOS'!#REF!+'[1] DEUDA MUNICIPIOS NO AVALADOS'!$E$55+'[1] DEUDA MUNICIPIOS NO AVALADOS'!$E$56</f>
        <v>#REF!</v>
      </c>
      <c r="C191" s="19"/>
      <c r="D191" s="229"/>
    </row>
    <row r="192" spans="1:4" ht="12.75" hidden="1">
      <c r="A192" s="2" t="s">
        <v>267</v>
      </c>
      <c r="B192" s="222" t="e">
        <f>'[1] DEUDA MUNICIPIOS NO AVALADOS'!#REF!+'[1] DEUDA MUNICIPIOS NO AVALADOS'!$E$55+'[1] DEUDA MUNICIPIOS NO AVALADOS'!$E$56</f>
        <v>#REF!</v>
      </c>
      <c r="C192" s="19"/>
      <c r="D192" s="229"/>
    </row>
    <row r="193" spans="1:4" ht="12.75" hidden="1">
      <c r="A193" s="2" t="s">
        <v>268</v>
      </c>
      <c r="B193" s="222" t="e">
        <f>'[1] DEUDA MUNICIPIOS NO AVALADOS'!#REF!+'[1] DEUDA MUNICIPIOS NO AVALADOS'!$E$55+'[1] DEUDA MUNICIPIOS NO AVALADOS'!$E$56</f>
        <v>#REF!</v>
      </c>
      <c r="C193" s="19"/>
      <c r="D193" s="229"/>
    </row>
    <row r="194" spans="1:4" ht="12.75" hidden="1">
      <c r="A194" s="2"/>
      <c r="B194" s="222"/>
      <c r="C194" s="19"/>
      <c r="D194" s="229"/>
    </row>
    <row r="195" spans="1:4" ht="12.75">
      <c r="A195" s="18" t="s">
        <v>131</v>
      </c>
      <c r="B195" s="222">
        <f>SUM(' DEUDA MUNICIPIOS NO AVALADOS'!E63:E64)*12</f>
        <v>831381.36</v>
      </c>
      <c r="C195" s="232">
        <v>140738583</v>
      </c>
      <c r="D195" s="229">
        <f>B195/C195</f>
        <v>0.005907273913650246</v>
      </c>
    </row>
    <row r="196" spans="1:4" ht="12.75" hidden="1">
      <c r="A196" s="2" t="s">
        <v>257</v>
      </c>
      <c r="B196" s="222">
        <v>192430.2</v>
      </c>
      <c r="C196" s="19"/>
      <c r="D196" s="229"/>
    </row>
    <row r="197" spans="1:4" ht="12.75" hidden="1">
      <c r="A197" s="2" t="s">
        <v>258</v>
      </c>
      <c r="B197" s="222">
        <v>189751.99</v>
      </c>
      <c r="C197" s="19"/>
      <c r="D197" s="229"/>
    </row>
    <row r="198" spans="1:4" ht="12.75" hidden="1">
      <c r="A198" s="2" t="s">
        <v>259</v>
      </c>
      <c r="B198" s="222">
        <v>193552.8</v>
      </c>
      <c r="C198" s="19"/>
      <c r="D198" s="229"/>
    </row>
    <row r="199" spans="1:4" ht="12.75" hidden="1">
      <c r="A199" s="2" t="s">
        <v>260</v>
      </c>
      <c r="B199" s="222">
        <v>185083.74</v>
      </c>
      <c r="C199" s="19"/>
      <c r="D199" s="229"/>
    </row>
    <row r="200" spans="1:4" ht="12.75" hidden="1">
      <c r="A200" s="2" t="s">
        <v>261</v>
      </c>
      <c r="B200" s="222">
        <v>185610.5</v>
      </c>
      <c r="C200" s="19"/>
      <c r="D200" s="229"/>
    </row>
    <row r="201" spans="1:4" ht="12.75" hidden="1">
      <c r="A201" s="2" t="s">
        <v>262</v>
      </c>
      <c r="B201" s="222">
        <v>187458.25</v>
      </c>
      <c r="C201" s="19"/>
      <c r="D201" s="229"/>
    </row>
    <row r="202" spans="1:4" ht="12.75" hidden="1">
      <c r="A202" s="2" t="s">
        <v>263</v>
      </c>
      <c r="B202" s="222">
        <v>182308.2</v>
      </c>
      <c r="C202" s="19"/>
      <c r="D202" s="229"/>
    </row>
    <row r="203" spans="1:4" ht="12.75" hidden="1">
      <c r="A203" s="2" t="s">
        <v>264</v>
      </c>
      <c r="B203" s="222">
        <v>184247.72999999998</v>
      </c>
      <c r="C203" s="19"/>
      <c r="D203" s="229"/>
    </row>
    <row r="204" spans="1:4" ht="12.75" hidden="1">
      <c r="A204" s="2" t="s">
        <v>265</v>
      </c>
      <c r="B204" s="222">
        <f>'[1] DEUDA MUNICIPIOS NO AVALADOS'!$E$62+'[1] DEUDA MUNICIPIOS NO AVALADOS'!$E$63</f>
        <v>164876.14</v>
      </c>
      <c r="C204" s="19"/>
      <c r="D204" s="229"/>
    </row>
    <row r="205" spans="1:4" ht="12.75" hidden="1">
      <c r="A205" s="2" t="s">
        <v>266</v>
      </c>
      <c r="B205" s="222">
        <f>'[1] DEUDA MUNICIPIOS NO AVALADOS'!$E$62+'[1] DEUDA MUNICIPIOS NO AVALADOS'!$E$63</f>
        <v>164876.14</v>
      </c>
      <c r="C205" s="19"/>
      <c r="D205" s="229"/>
    </row>
    <row r="206" spans="1:4" ht="12.75" hidden="1">
      <c r="A206" s="2" t="s">
        <v>267</v>
      </c>
      <c r="B206" s="222">
        <f>'[1] DEUDA MUNICIPIOS NO AVALADOS'!$E$62+'[1] DEUDA MUNICIPIOS NO AVALADOS'!$E$63</f>
        <v>164876.14</v>
      </c>
      <c r="C206" s="19"/>
      <c r="D206" s="229"/>
    </row>
    <row r="207" spans="1:4" ht="12.75" hidden="1">
      <c r="A207" s="2" t="s">
        <v>268</v>
      </c>
      <c r="B207" s="222">
        <f>'[1] DEUDA MUNICIPIOS NO AVALADOS'!$E$62+'[1] DEUDA MUNICIPIOS NO AVALADOS'!$E$63</f>
        <v>164876.14</v>
      </c>
      <c r="C207" s="19"/>
      <c r="D207" s="229"/>
    </row>
    <row r="208" spans="1:4" ht="12.75" hidden="1">
      <c r="A208" s="2"/>
      <c r="B208" s="222"/>
      <c r="C208" s="19"/>
      <c r="D208" s="229"/>
    </row>
    <row r="209" spans="1:4" ht="12.75">
      <c r="A209" s="18" t="s">
        <v>85</v>
      </c>
      <c r="B209" s="222">
        <f>SUM(' DEUDA MUNICIPIOS NO AVALADOS'!E60)*12</f>
        <v>515104.92000000004</v>
      </c>
      <c r="C209" s="232">
        <v>18706703</v>
      </c>
      <c r="D209" s="229">
        <f>B209/C209</f>
        <v>0.027535847444629877</v>
      </c>
    </row>
    <row r="210" spans="1:4" ht="12.75" hidden="1">
      <c r="A210" s="2" t="s">
        <v>257</v>
      </c>
      <c r="B210" s="222">
        <v>2366.73</v>
      </c>
      <c r="C210" s="19"/>
      <c r="D210" s="229"/>
    </row>
    <row r="211" spans="1:4" ht="12.75" hidden="1">
      <c r="A211" s="2" t="s">
        <v>258</v>
      </c>
      <c r="B211" s="222">
        <v>2379.34</v>
      </c>
      <c r="C211" s="19"/>
      <c r="D211" s="229"/>
    </row>
    <row r="212" spans="1:4" ht="12.75" hidden="1">
      <c r="A212" s="2" t="s">
        <v>259</v>
      </c>
      <c r="B212" s="222">
        <v>2336.78</v>
      </c>
      <c r="C212" s="19"/>
      <c r="D212" s="229"/>
    </row>
    <row r="213" spans="1:4" ht="12.75" hidden="1">
      <c r="A213" s="2" t="s">
        <v>260</v>
      </c>
      <c r="B213" s="222">
        <v>2406.67</v>
      </c>
      <c r="C213" s="19"/>
      <c r="D213" s="229"/>
    </row>
    <row r="214" spans="1:4" ht="12.75" hidden="1">
      <c r="A214" s="2" t="s">
        <v>261</v>
      </c>
      <c r="B214" s="222">
        <v>2388.15</v>
      </c>
      <c r="C214" s="19"/>
      <c r="D214" s="229"/>
    </row>
    <row r="215" spans="1:4" ht="12.75" hidden="1">
      <c r="A215" s="2" t="s">
        <v>262</v>
      </c>
      <c r="B215" s="222">
        <v>2395.79</v>
      </c>
      <c r="C215" s="19"/>
      <c r="D215" s="229"/>
    </row>
    <row r="216" spans="1:4" ht="12.75" hidden="1">
      <c r="A216" s="2" t="s">
        <v>263</v>
      </c>
      <c r="B216" s="222">
        <v>2378.1</v>
      </c>
      <c r="C216" s="19"/>
      <c r="D216" s="229"/>
    </row>
    <row r="217" spans="1:4" ht="12.75" hidden="1">
      <c r="A217" s="2" t="s">
        <v>264</v>
      </c>
      <c r="B217" s="222">
        <v>2392.13553656</v>
      </c>
      <c r="C217" s="19"/>
      <c r="D217" s="229"/>
    </row>
    <row r="218" spans="1:4" ht="12.75" hidden="1">
      <c r="A218" s="2" t="s">
        <v>265</v>
      </c>
      <c r="B218" s="222">
        <f>'[1]DEUDA MUNICIPIOS AVALadOS'!$E$40</f>
        <v>2548.45</v>
      </c>
      <c r="C218" s="19"/>
      <c r="D218" s="229"/>
    </row>
    <row r="219" spans="1:4" ht="12.75" hidden="1">
      <c r="A219" s="2" t="s">
        <v>266</v>
      </c>
      <c r="B219" s="222">
        <f>'[1]DEUDA MUNICIPIOS AVALadOS'!$E$40</f>
        <v>2548.45</v>
      </c>
      <c r="C219" s="19"/>
      <c r="D219" s="229"/>
    </row>
    <row r="220" spans="1:4" ht="12.75" hidden="1">
      <c r="A220" s="2" t="s">
        <v>267</v>
      </c>
      <c r="B220" s="222">
        <f>'[1]DEUDA MUNICIPIOS AVALadOS'!$E$40</f>
        <v>2548.45</v>
      </c>
      <c r="C220" s="19"/>
      <c r="D220" s="229"/>
    </row>
    <row r="221" spans="1:4" ht="12.75" hidden="1">
      <c r="A221" s="2" t="s">
        <v>268</v>
      </c>
      <c r="B221" s="222">
        <f>'[1]DEUDA MUNICIPIOS AVALadOS'!$E$40</f>
        <v>2548.45</v>
      </c>
      <c r="C221" s="19"/>
      <c r="D221" s="229"/>
    </row>
    <row r="222" spans="1:4" ht="12.75" hidden="1">
      <c r="A222" s="2"/>
      <c r="B222" s="222"/>
      <c r="C222" s="19"/>
      <c r="D222" s="229"/>
    </row>
    <row r="223" spans="1:4" ht="12.75">
      <c r="A223" s="18" t="s">
        <v>86</v>
      </c>
      <c r="B223" s="222">
        <f>' DEUDA MUNICIPIOS NO AVALADOS'!E67*12</f>
        <v>628126.6799999999</v>
      </c>
      <c r="C223" s="232">
        <v>25830031</v>
      </c>
      <c r="D223" s="229">
        <f>B223/C223</f>
        <v>0.024317689746481526</v>
      </c>
    </row>
    <row r="224" spans="1:4" ht="12.75" hidden="1">
      <c r="A224" s="2" t="s">
        <v>257</v>
      </c>
      <c r="B224" s="222">
        <v>15944.38</v>
      </c>
      <c r="C224" s="19"/>
      <c r="D224" s="229"/>
    </row>
    <row r="225" spans="1:4" ht="12.75" hidden="1">
      <c r="A225" s="2" t="s">
        <v>258</v>
      </c>
      <c r="B225" s="222">
        <v>16029.51</v>
      </c>
      <c r="C225" s="19"/>
      <c r="D225" s="229"/>
    </row>
    <row r="226" spans="1:4" ht="12.75" hidden="1">
      <c r="A226" s="2" t="s">
        <v>259</v>
      </c>
      <c r="B226" s="222">
        <v>15760.9</v>
      </c>
      <c r="C226" s="19"/>
      <c r="D226" s="229"/>
    </row>
    <row r="227" spans="1:4" ht="12.75" hidden="1">
      <c r="A227" s="2" t="s">
        <v>260</v>
      </c>
      <c r="B227" s="222">
        <v>16213.26</v>
      </c>
      <c r="C227" s="19"/>
      <c r="D227" s="229"/>
    </row>
    <row r="228" spans="1:4" ht="12.75" hidden="1">
      <c r="A228" s="2" t="s">
        <v>261</v>
      </c>
      <c r="B228" s="222">
        <v>16094.61</v>
      </c>
      <c r="C228" s="19"/>
      <c r="D228" s="229"/>
    </row>
    <row r="229" spans="1:4" ht="12.75" hidden="1">
      <c r="A229" s="2" t="s">
        <v>262</v>
      </c>
      <c r="B229" s="222">
        <v>16139.8</v>
      </c>
      <c r="C229" s="19"/>
      <c r="D229" s="229"/>
    </row>
    <row r="230" spans="1:4" ht="12.75" hidden="1">
      <c r="A230" s="2" t="s">
        <v>263</v>
      </c>
      <c r="B230" s="222">
        <v>16026.88</v>
      </c>
      <c r="C230" s="19"/>
      <c r="D230" s="229"/>
    </row>
    <row r="231" spans="1:4" ht="12.75" hidden="1">
      <c r="A231" s="2" t="s">
        <v>264</v>
      </c>
      <c r="B231" s="222">
        <v>16115.007199080002</v>
      </c>
      <c r="C231" s="19"/>
      <c r="D231" s="229"/>
    </row>
    <row r="232" spans="1:4" ht="12.75" hidden="1">
      <c r="A232" s="2" t="s">
        <v>265</v>
      </c>
      <c r="B232" s="222">
        <f>'[1]DEUDA MUNICIPIOS AVALadOS'!$E$44</f>
        <v>17167.33</v>
      </c>
      <c r="C232" s="19"/>
      <c r="D232" s="229"/>
    </row>
    <row r="233" spans="1:4" ht="12.75" hidden="1">
      <c r="A233" s="2" t="s">
        <v>266</v>
      </c>
      <c r="B233" s="222">
        <f>'[1]DEUDA MUNICIPIOS AVALadOS'!$E$44</f>
        <v>17167.33</v>
      </c>
      <c r="C233" s="19"/>
      <c r="D233" s="229"/>
    </row>
    <row r="234" spans="1:4" ht="12.75" hidden="1">
      <c r="A234" s="2" t="s">
        <v>267</v>
      </c>
      <c r="B234" s="222">
        <f>'[1]DEUDA MUNICIPIOS AVALadOS'!$E$44</f>
        <v>17167.33</v>
      </c>
      <c r="C234" s="19"/>
      <c r="D234" s="230"/>
    </row>
    <row r="235" spans="1:4" ht="12.75" hidden="1">
      <c r="A235" s="2" t="s">
        <v>268</v>
      </c>
      <c r="B235" s="222">
        <f>'[1]DEUDA MUNICIPIOS AVALadOS'!$E$44</f>
        <v>17167.33</v>
      </c>
      <c r="C235" s="20"/>
      <c r="D235" s="229"/>
    </row>
    <row r="236" spans="1:4" ht="12.75" hidden="1">
      <c r="A236" s="2"/>
      <c r="B236" s="222"/>
      <c r="C236" s="20"/>
      <c r="D236" s="229"/>
    </row>
    <row r="237" spans="1:4" ht="12.75">
      <c r="A237" s="18" t="s">
        <v>87</v>
      </c>
      <c r="B237" s="222">
        <f>' DEUDA MUNICIPIOS NO AVALADOS'!E70*12</f>
        <v>682027.2000000001</v>
      </c>
      <c r="C237" s="232">
        <v>8197467</v>
      </c>
      <c r="D237" s="229">
        <f>B237/C237</f>
        <v>0.08319974938599936</v>
      </c>
    </row>
    <row r="238" spans="1:4" ht="12.75" hidden="1">
      <c r="A238" s="2" t="s">
        <v>257</v>
      </c>
      <c r="B238" s="222">
        <v>4477.14</v>
      </c>
      <c r="C238" s="19"/>
      <c r="D238" s="229"/>
    </row>
    <row r="239" spans="1:4" ht="12.75" hidden="1">
      <c r="A239" s="2" t="s">
        <v>258</v>
      </c>
      <c r="B239" s="222">
        <v>4501.04</v>
      </c>
      <c r="C239" s="19"/>
      <c r="D239" s="229"/>
    </row>
    <row r="240" spans="1:4" ht="12.75" hidden="1">
      <c r="A240" s="2" t="s">
        <v>259</v>
      </c>
      <c r="B240" s="222">
        <v>4425.63</v>
      </c>
      <c r="C240" s="19"/>
      <c r="D240" s="229"/>
    </row>
    <row r="241" spans="1:4" ht="12.75" hidden="1">
      <c r="A241" s="2" t="s">
        <v>260</v>
      </c>
      <c r="B241" s="222">
        <v>4552.65</v>
      </c>
      <c r="C241" s="19"/>
      <c r="D241" s="229"/>
    </row>
    <row r="242" spans="1:4" ht="12.75" hidden="1">
      <c r="A242" s="2" t="s">
        <v>261</v>
      </c>
      <c r="B242" s="222">
        <v>4519.31</v>
      </c>
      <c r="C242" s="19"/>
      <c r="D242" s="229"/>
    </row>
    <row r="243" spans="1:4" ht="12.75" hidden="1">
      <c r="A243" s="2" t="s">
        <v>262</v>
      </c>
      <c r="B243" s="222">
        <v>4532.01</v>
      </c>
      <c r="C243" s="19"/>
      <c r="D243" s="229"/>
    </row>
    <row r="244" spans="1:4" ht="12.75" hidden="1">
      <c r="A244" s="2" t="s">
        <v>263</v>
      </c>
      <c r="B244" s="222">
        <v>4500.3</v>
      </c>
      <c r="C244" s="19"/>
      <c r="D244" s="229"/>
    </row>
    <row r="245" spans="1:4" ht="12.75" hidden="1">
      <c r="A245" s="2" t="s">
        <v>264</v>
      </c>
      <c r="B245" s="222">
        <v>4525.05215072</v>
      </c>
      <c r="C245" s="19"/>
      <c r="D245" s="229"/>
    </row>
    <row r="246" spans="1:4" ht="12.75" hidden="1">
      <c r="A246" s="2" t="s">
        <v>265</v>
      </c>
      <c r="B246" s="222">
        <f>'[1]DEUDA MUNICIPIOS AVALadOS'!$E$48</f>
        <v>4820.549999999999</v>
      </c>
      <c r="C246" s="19"/>
      <c r="D246" s="229"/>
    </row>
    <row r="247" spans="1:4" ht="12.75" hidden="1">
      <c r="A247" s="2" t="s">
        <v>266</v>
      </c>
      <c r="B247" s="222">
        <f>'[1]DEUDA MUNICIPIOS AVALadOS'!$E$48</f>
        <v>4820.549999999999</v>
      </c>
      <c r="C247" s="19"/>
      <c r="D247" s="229"/>
    </row>
    <row r="248" spans="1:4" ht="12.75" hidden="1">
      <c r="A248" s="2" t="s">
        <v>267</v>
      </c>
      <c r="B248" s="222">
        <f>'[1]DEUDA MUNICIPIOS AVALadOS'!$E$48</f>
        <v>4820.549999999999</v>
      </c>
      <c r="C248" s="19"/>
      <c r="D248" s="229"/>
    </row>
    <row r="249" spans="1:4" ht="12.75" hidden="1">
      <c r="A249" s="2" t="s">
        <v>268</v>
      </c>
      <c r="B249" s="222">
        <f>'[1]DEUDA MUNICIPIOS AVALadOS'!$E$48</f>
        <v>4820.549999999999</v>
      </c>
      <c r="C249" s="19"/>
      <c r="D249" s="229"/>
    </row>
    <row r="250" spans="1:4" ht="12.75" hidden="1">
      <c r="A250" s="2"/>
      <c r="B250" s="222"/>
      <c r="C250" s="19"/>
      <c r="D250" s="229"/>
    </row>
    <row r="251" spans="1:4" ht="12.75">
      <c r="A251" s="18" t="s">
        <v>136</v>
      </c>
      <c r="B251" s="222">
        <f>SUM(' DEUDA MUNICIPIOS NO AVALADOS'!E73:E74)*12</f>
        <v>7072271.64</v>
      </c>
      <c r="C251" s="232">
        <v>171945444</v>
      </c>
      <c r="D251" s="229">
        <f>B251/C251</f>
        <v>0.04113090452108751</v>
      </c>
    </row>
    <row r="252" spans="1:4" ht="12.75" hidden="1">
      <c r="A252" s="2" t="s">
        <v>257</v>
      </c>
      <c r="B252" s="222">
        <v>12761.53</v>
      </c>
      <c r="C252" s="19"/>
      <c r="D252" s="229"/>
    </row>
    <row r="253" spans="1:4" ht="12.75" hidden="1">
      <c r="A253" s="2" t="s">
        <v>258</v>
      </c>
      <c r="B253" s="222">
        <v>122440.51</v>
      </c>
      <c r="C253" s="19"/>
      <c r="D253" s="229"/>
    </row>
    <row r="254" spans="1:4" ht="12.75" hidden="1">
      <c r="A254" s="2" t="s">
        <v>259</v>
      </c>
      <c r="B254" s="222">
        <v>117033.67</v>
      </c>
      <c r="C254" s="19"/>
      <c r="D254" s="229"/>
    </row>
    <row r="255" spans="1:4" ht="12.75" hidden="1">
      <c r="A255" s="2" t="s">
        <v>260</v>
      </c>
      <c r="B255" s="222">
        <v>124665.93</v>
      </c>
      <c r="C255" s="19"/>
      <c r="D255" s="229"/>
    </row>
    <row r="256" spans="1:4" ht="12.75" hidden="1">
      <c r="A256" s="2" t="s">
        <v>261</v>
      </c>
      <c r="B256" s="222">
        <v>112625.93</v>
      </c>
      <c r="C256" s="19"/>
      <c r="D256" s="229"/>
    </row>
    <row r="257" spans="1:4" ht="12.75" hidden="1">
      <c r="A257" s="2" t="s">
        <v>262</v>
      </c>
      <c r="B257" s="222">
        <v>119688.66</v>
      </c>
      <c r="C257" s="19"/>
      <c r="D257" s="230"/>
    </row>
    <row r="258" spans="1:4" ht="12.75" hidden="1">
      <c r="A258" s="2" t="s">
        <v>263</v>
      </c>
      <c r="B258" s="222">
        <v>122023.4</v>
      </c>
      <c r="C258" s="19"/>
      <c r="D258" s="230"/>
    </row>
    <row r="259" spans="1:4" ht="12.75" hidden="1">
      <c r="A259" s="2" t="s">
        <v>264</v>
      </c>
      <c r="B259" s="222">
        <v>115011.28</v>
      </c>
      <c r="C259" s="19"/>
      <c r="D259" s="230"/>
    </row>
    <row r="260" spans="1:4" ht="12.75" hidden="1">
      <c r="A260" s="2" t="s">
        <v>265</v>
      </c>
      <c r="B260" s="222">
        <f>'[1] DEUDA MUNICIPIOS NO AVALADOS'!$E$72</f>
        <v>106868.41</v>
      </c>
      <c r="C260" s="19"/>
      <c r="D260" s="230"/>
    </row>
    <row r="261" spans="1:4" ht="12.75" hidden="1">
      <c r="A261" s="2" t="s">
        <v>266</v>
      </c>
      <c r="B261" s="222">
        <f>'[1] DEUDA MUNICIPIOS NO AVALADOS'!$E$72</f>
        <v>106868.41</v>
      </c>
      <c r="C261" s="19"/>
      <c r="D261" s="230"/>
    </row>
    <row r="262" spans="1:4" ht="12.75" hidden="1">
      <c r="A262" s="2" t="s">
        <v>267</v>
      </c>
      <c r="B262" s="222">
        <f>'[1] DEUDA MUNICIPIOS NO AVALADOS'!$E$72</f>
        <v>106868.41</v>
      </c>
      <c r="C262" s="19"/>
      <c r="D262" s="230"/>
    </row>
    <row r="263" spans="1:4" ht="12.75" hidden="1">
      <c r="A263" s="2" t="s">
        <v>268</v>
      </c>
      <c r="B263" s="222">
        <f>'[1] DEUDA MUNICIPIOS NO AVALADOS'!$E$72</f>
        <v>106868.41</v>
      </c>
      <c r="C263" s="19"/>
      <c r="D263" s="230"/>
    </row>
    <row r="264" spans="1:4" ht="12.75" hidden="1">
      <c r="A264" s="2"/>
      <c r="B264" s="222"/>
      <c r="C264" s="19"/>
      <c r="D264" s="230"/>
    </row>
    <row r="265" spans="1:4" ht="12.75">
      <c r="A265" s="18" t="s">
        <v>137</v>
      </c>
      <c r="B265" s="222">
        <f>' DEUDA MUNICIPIOS NO AVALADOS'!E77*12</f>
        <v>3464860.56</v>
      </c>
      <c r="C265" s="232">
        <v>197368904</v>
      </c>
      <c r="D265" s="230">
        <f>B265/C265</f>
        <v>0.01755525054747226</v>
      </c>
    </row>
    <row r="266" spans="1:4" ht="12.75" hidden="1">
      <c r="A266" s="2" t="s">
        <v>257</v>
      </c>
      <c r="B266" s="222">
        <v>351662.49</v>
      </c>
      <c r="C266" s="19"/>
      <c r="D266" s="230"/>
    </row>
    <row r="267" spans="1:4" ht="12.75" hidden="1">
      <c r="A267" s="2" t="s">
        <v>258</v>
      </c>
      <c r="B267" s="222">
        <v>347125.82</v>
      </c>
      <c r="C267" s="19"/>
      <c r="D267" s="230"/>
    </row>
    <row r="268" spans="1:4" ht="12.75" hidden="1">
      <c r="A268" s="2" t="s">
        <v>259</v>
      </c>
      <c r="B268" s="222">
        <v>354150.06</v>
      </c>
      <c r="C268" s="19"/>
      <c r="D268" s="230"/>
    </row>
    <row r="269" spans="1:4" ht="12.75" hidden="1">
      <c r="A269" s="2" t="s">
        <v>260</v>
      </c>
      <c r="B269" s="222">
        <v>338134.49</v>
      </c>
      <c r="C269" s="19"/>
      <c r="D269" s="230"/>
    </row>
    <row r="270" spans="1:4" ht="12.75" hidden="1">
      <c r="A270" s="2" t="s">
        <v>261</v>
      </c>
      <c r="B270" s="222">
        <v>339301.86</v>
      </c>
      <c r="C270" s="19"/>
      <c r="D270" s="230"/>
    </row>
    <row r="271" spans="1:4" ht="12.75" hidden="1">
      <c r="A271" s="2" t="s">
        <v>262</v>
      </c>
      <c r="B271" s="222">
        <v>342819.1</v>
      </c>
      <c r="C271" s="19"/>
      <c r="D271" s="230"/>
    </row>
    <row r="272" spans="1:4" ht="12.75" hidden="1">
      <c r="A272" s="2" t="s">
        <v>263</v>
      </c>
      <c r="B272" s="222">
        <v>333907.61</v>
      </c>
      <c r="C272" s="19"/>
      <c r="D272" s="230"/>
    </row>
    <row r="273" spans="1:4" ht="12.75" hidden="1">
      <c r="A273" s="2" t="s">
        <v>264</v>
      </c>
      <c r="B273" s="222">
        <v>337695.13</v>
      </c>
      <c r="C273" s="19"/>
      <c r="D273" s="230"/>
    </row>
    <row r="274" spans="1:4" ht="12.75" hidden="1">
      <c r="A274" s="2" t="s">
        <v>265</v>
      </c>
      <c r="B274" s="222">
        <f>'[1] DEUDA MUNICIPIOS NO AVALADOS'!$E$75</f>
        <v>305504.97</v>
      </c>
      <c r="C274" s="19"/>
      <c r="D274" s="230"/>
    </row>
    <row r="275" spans="1:4" ht="12.75" hidden="1">
      <c r="A275" s="2" t="s">
        <v>266</v>
      </c>
      <c r="B275" s="222">
        <f>'[1] DEUDA MUNICIPIOS NO AVALADOS'!$E$75</f>
        <v>305504.97</v>
      </c>
      <c r="C275" s="19"/>
      <c r="D275" s="230"/>
    </row>
    <row r="276" spans="1:4" ht="12.75" hidden="1">
      <c r="A276" s="2" t="s">
        <v>267</v>
      </c>
      <c r="B276" s="222">
        <f>'[1] DEUDA MUNICIPIOS NO AVALADOS'!$E$75</f>
        <v>305504.97</v>
      </c>
      <c r="C276" s="19"/>
      <c r="D276" s="230"/>
    </row>
    <row r="277" spans="1:4" ht="12.75" hidden="1">
      <c r="A277" s="2" t="s">
        <v>268</v>
      </c>
      <c r="B277" s="222">
        <f>'[1] DEUDA MUNICIPIOS NO AVALADOS'!$E$75</f>
        <v>305504.97</v>
      </c>
      <c r="C277" s="19"/>
      <c r="D277" s="230"/>
    </row>
    <row r="278" spans="1:4" ht="12.75" hidden="1">
      <c r="A278" s="2"/>
      <c r="B278" s="222"/>
      <c r="C278" s="19"/>
      <c r="D278" s="230"/>
    </row>
    <row r="279" spans="1:4" ht="12.75">
      <c r="A279" s="18" t="s">
        <v>139</v>
      </c>
      <c r="B279" s="222">
        <f>' DEUDA MUNICIPIOS NO AVALADOS'!E80*12</f>
        <v>574391.64</v>
      </c>
      <c r="C279" s="232">
        <v>31573981</v>
      </c>
      <c r="D279" s="230">
        <f>B279/C279</f>
        <v>0.018191929614450583</v>
      </c>
    </row>
    <row r="280" spans="1:4" ht="12.75" hidden="1">
      <c r="A280" s="2" t="s">
        <v>257</v>
      </c>
      <c r="B280" s="222">
        <v>152593.64</v>
      </c>
      <c r="C280" s="20"/>
      <c r="D280" s="229"/>
    </row>
    <row r="281" spans="1:4" ht="12.75" hidden="1">
      <c r="A281" s="2" t="s">
        <v>258</v>
      </c>
      <c r="B281" s="222">
        <v>151704.76</v>
      </c>
      <c r="C281" s="20"/>
      <c r="D281" s="229"/>
    </row>
    <row r="282" spans="1:4" ht="12.75" hidden="1">
      <c r="A282" s="2" t="s">
        <v>259</v>
      </c>
      <c r="B282" s="222">
        <v>152357.43</v>
      </c>
      <c r="C282" s="20"/>
      <c r="D282" s="229"/>
    </row>
    <row r="283" spans="1:4" ht="12.75" hidden="1">
      <c r="A283" s="2" t="s">
        <v>260</v>
      </c>
      <c r="B283" s="222">
        <v>148229.78</v>
      </c>
      <c r="C283" s="20"/>
      <c r="D283" s="229"/>
    </row>
    <row r="284" spans="1:4" ht="12.75" hidden="1">
      <c r="A284" s="2" t="s">
        <v>261</v>
      </c>
      <c r="B284" s="222">
        <v>148377.33</v>
      </c>
      <c r="C284" s="20"/>
      <c r="D284" s="229"/>
    </row>
    <row r="285" spans="1:4" ht="12.75" hidden="1">
      <c r="A285" s="2" t="s">
        <v>262</v>
      </c>
      <c r="B285" s="222">
        <v>149082.78</v>
      </c>
      <c r="C285" s="20"/>
      <c r="D285" s="229"/>
    </row>
    <row r="286" spans="1:4" ht="12.75" hidden="1">
      <c r="A286" s="2" t="s">
        <v>263</v>
      </c>
      <c r="B286" s="222">
        <v>146556.4</v>
      </c>
      <c r="C286" s="20"/>
      <c r="D286" s="229"/>
    </row>
    <row r="287" spans="1:4" ht="12.75" hidden="1">
      <c r="A287" s="2" t="s">
        <v>264</v>
      </c>
      <c r="B287" s="222">
        <v>147330.84</v>
      </c>
      <c r="C287" s="20"/>
      <c r="D287" s="229"/>
    </row>
    <row r="288" spans="1:4" ht="12.75" hidden="1">
      <c r="A288" s="2" t="s">
        <v>265</v>
      </c>
      <c r="B288" s="222" t="e">
        <f>'[1] DEUDA MUNICIPIOS NO AVALADOS'!$E$78+'[1] DEUDA MUNICIPIOS NO AVALADOS'!#REF!</f>
        <v>#REF!</v>
      </c>
      <c r="C288" s="20"/>
      <c r="D288" s="229"/>
    </row>
    <row r="289" spans="1:4" ht="12.75" hidden="1">
      <c r="A289" s="2" t="s">
        <v>266</v>
      </c>
      <c r="B289" s="222" t="e">
        <f>'[1] DEUDA MUNICIPIOS NO AVALADOS'!$E$78+'[1] DEUDA MUNICIPIOS NO AVALADOS'!#REF!</f>
        <v>#REF!</v>
      </c>
      <c r="C289" s="20"/>
      <c r="D289" s="229"/>
    </row>
    <row r="290" spans="1:4" ht="12.75" hidden="1">
      <c r="A290" s="2" t="s">
        <v>267</v>
      </c>
      <c r="B290" s="222" t="e">
        <f>'[1] DEUDA MUNICIPIOS NO AVALADOS'!$E$78+'[1] DEUDA MUNICIPIOS NO AVALADOS'!#REF!</f>
        <v>#REF!</v>
      </c>
      <c r="C290" s="20"/>
      <c r="D290" s="229"/>
    </row>
    <row r="291" spans="1:4" ht="15" customHeight="1" hidden="1">
      <c r="A291" s="2" t="s">
        <v>268</v>
      </c>
      <c r="B291" s="222" t="e">
        <f>'[1] DEUDA MUNICIPIOS NO AVALADOS'!$E$78+'[1] DEUDA MUNICIPIOS NO AVALADOS'!#REF!</f>
        <v>#REF!</v>
      </c>
      <c r="C291" s="20"/>
      <c r="D291" s="229"/>
    </row>
    <row r="292" spans="1:4" ht="12.75" hidden="1">
      <c r="A292" s="2"/>
      <c r="B292" s="222"/>
      <c r="C292" s="20"/>
      <c r="D292" s="229"/>
    </row>
    <row r="293" spans="1:4" ht="12.75">
      <c r="A293" s="18" t="s">
        <v>269</v>
      </c>
      <c r="B293" s="222">
        <f>SUM(' DEUDA MUNICIPIOS NO AVALADOS'!E83:E86)*12</f>
        <v>2675943</v>
      </c>
      <c r="C293" s="232">
        <v>57197415</v>
      </c>
      <c r="D293" s="229">
        <f>B293/C293</f>
        <v>0.046784334571763425</v>
      </c>
    </row>
    <row r="294" spans="1:4" ht="12.75" hidden="1">
      <c r="A294" s="2" t="s">
        <v>257</v>
      </c>
      <c r="B294" s="222">
        <v>90986.33</v>
      </c>
      <c r="C294" s="20"/>
      <c r="D294" s="229"/>
    </row>
    <row r="295" spans="1:4" ht="12.75" hidden="1">
      <c r="A295" s="2" t="s">
        <v>258</v>
      </c>
      <c r="B295" s="222">
        <v>94213.18</v>
      </c>
      <c r="C295" s="20"/>
      <c r="D295" s="229"/>
    </row>
    <row r="296" spans="1:4" ht="12.75" hidden="1">
      <c r="A296" s="2" t="s">
        <v>259</v>
      </c>
      <c r="B296" s="222">
        <v>87877.41</v>
      </c>
      <c r="C296" s="20"/>
      <c r="D296" s="229"/>
    </row>
    <row r="297" spans="1:4" ht="12.75" hidden="1">
      <c r="A297" s="2" t="s">
        <v>260</v>
      </c>
      <c r="B297" s="222">
        <v>18734.33</v>
      </c>
      <c r="C297" s="20"/>
      <c r="D297" s="229"/>
    </row>
    <row r="298" spans="1:4" ht="12.75" hidden="1">
      <c r="A298" s="2" t="s">
        <v>261</v>
      </c>
      <c r="B298" s="222">
        <v>83372.99</v>
      </c>
      <c r="C298" s="20"/>
      <c r="D298" s="229"/>
    </row>
    <row r="299" spans="1:4" ht="12.75" hidden="1">
      <c r="A299" s="2" t="s">
        <v>262</v>
      </c>
      <c r="B299" s="222">
        <v>31797.7</v>
      </c>
      <c r="C299" s="20"/>
      <c r="D299" s="229"/>
    </row>
    <row r="300" spans="1:4" ht="12.75" hidden="1">
      <c r="A300" s="2" t="s">
        <v>263</v>
      </c>
      <c r="B300" s="222">
        <v>81947.25</v>
      </c>
      <c r="C300" s="20"/>
      <c r="D300" s="229"/>
    </row>
    <row r="301" spans="1:4" ht="12.75" hidden="1">
      <c r="A301" s="2" t="s">
        <v>264</v>
      </c>
      <c r="B301" s="222">
        <v>31633.67</v>
      </c>
      <c r="C301" s="20"/>
      <c r="D301" s="229"/>
    </row>
    <row r="302" spans="1:4" ht="12.75" hidden="1">
      <c r="A302" s="2" t="s">
        <v>265</v>
      </c>
      <c r="B302" s="222">
        <f>'[1] DEUDA MUNICIPIOS NO AVALADOS'!$E$133</f>
        <v>74267.19</v>
      </c>
      <c r="C302" s="20"/>
      <c r="D302" s="229"/>
    </row>
    <row r="303" spans="1:4" ht="12.75" hidden="1">
      <c r="A303" s="2" t="s">
        <v>266</v>
      </c>
      <c r="B303" s="222">
        <f>'[1] DEUDA MUNICIPIOS NO AVALADOS'!$E$133</f>
        <v>74267.19</v>
      </c>
      <c r="C303" s="20"/>
      <c r="D303" s="229"/>
    </row>
    <row r="304" spans="1:4" ht="12.75" hidden="1">
      <c r="A304" s="2" t="s">
        <v>267</v>
      </c>
      <c r="B304" s="222">
        <f>'[1] DEUDA MUNICIPIOS NO AVALADOS'!$E$133</f>
        <v>74267.19</v>
      </c>
      <c r="C304" s="20"/>
      <c r="D304" s="229"/>
    </row>
    <row r="305" spans="1:4" ht="12.75" hidden="1">
      <c r="A305" s="2" t="s">
        <v>268</v>
      </c>
      <c r="B305" s="222">
        <f>'[1] DEUDA MUNICIPIOS NO AVALADOS'!$E$133</f>
        <v>74267.19</v>
      </c>
      <c r="C305" s="20"/>
      <c r="D305" s="229"/>
    </row>
    <row r="306" spans="1:4" ht="12.75" hidden="1">
      <c r="A306" s="2"/>
      <c r="B306" s="222"/>
      <c r="C306" s="20"/>
      <c r="D306" s="229"/>
    </row>
    <row r="307" spans="1:4" s="22" customFormat="1" ht="12.75">
      <c r="A307" s="21" t="s">
        <v>143</v>
      </c>
      <c r="B307" s="226">
        <f>SUM(' DEUDA MUNICIPIOS NO AVALADOS'!E89:E92)*12</f>
        <v>34348777.080000006</v>
      </c>
      <c r="C307" s="232">
        <v>738412434</v>
      </c>
      <c r="D307" s="231">
        <f>B307/C307</f>
        <v>0.04651706214362041</v>
      </c>
    </row>
    <row r="308" spans="1:4" ht="12.75" hidden="1">
      <c r="A308" s="2" t="s">
        <v>257</v>
      </c>
      <c r="B308" s="222">
        <v>550022.87</v>
      </c>
      <c r="C308" s="19"/>
      <c r="D308" s="229"/>
    </row>
    <row r="309" spans="1:4" ht="12.75" hidden="1">
      <c r="A309" s="2" t="s">
        <v>258</v>
      </c>
      <c r="B309" s="222">
        <v>548247.33</v>
      </c>
      <c r="C309" s="19"/>
      <c r="D309" s="229"/>
    </row>
    <row r="310" spans="1:4" ht="12.75" hidden="1">
      <c r="A310" s="2" t="s">
        <v>259</v>
      </c>
      <c r="B310" s="222">
        <v>553728.34</v>
      </c>
      <c r="C310" s="19"/>
      <c r="D310" s="229"/>
    </row>
    <row r="311" spans="1:4" ht="12.75" hidden="1">
      <c r="A311" s="2" t="s">
        <v>260</v>
      </c>
      <c r="B311" s="222">
        <v>591767.33</v>
      </c>
      <c r="C311" s="19"/>
      <c r="D311" s="229"/>
    </row>
    <row r="312" spans="1:4" ht="12.75" hidden="1">
      <c r="A312" s="2" t="s">
        <v>261</v>
      </c>
      <c r="B312" s="222">
        <v>504880.83</v>
      </c>
      <c r="C312" s="19"/>
      <c r="D312" s="229"/>
    </row>
    <row r="313" spans="1:4" ht="12.75" hidden="1">
      <c r="A313" s="2" t="s">
        <v>262</v>
      </c>
      <c r="B313" s="222">
        <v>515186.58</v>
      </c>
      <c r="C313" s="19"/>
      <c r="D313" s="229"/>
    </row>
    <row r="314" spans="1:4" ht="12.75" hidden="1">
      <c r="A314" s="2" t="s">
        <v>263</v>
      </c>
      <c r="B314" s="222">
        <v>518145.57</v>
      </c>
      <c r="C314" s="19"/>
      <c r="D314" s="229"/>
    </row>
    <row r="315" spans="1:4" ht="12.75" hidden="1">
      <c r="A315" s="2" t="s">
        <v>264</v>
      </c>
      <c r="B315" s="222">
        <v>515534.08</v>
      </c>
      <c r="C315" s="19"/>
      <c r="D315" s="229"/>
    </row>
    <row r="316" spans="1:4" ht="12.75" hidden="1">
      <c r="A316" s="2" t="s">
        <v>265</v>
      </c>
      <c r="B316" s="222">
        <f>'[1] DEUDA MUNICIPIOS NO AVALADOS'!$E$81+'[1] DEUDA MUNICIPIOS NO AVALADOS'!$E$82+'[1] DEUDA MUNICIPIOS NO AVALADOS'!$E$83</f>
        <v>465398.53</v>
      </c>
      <c r="C316" s="19"/>
      <c r="D316" s="229"/>
    </row>
    <row r="317" spans="1:4" ht="12.75" hidden="1">
      <c r="A317" s="2" t="s">
        <v>266</v>
      </c>
      <c r="B317" s="222">
        <f>'[1] DEUDA MUNICIPIOS NO AVALADOS'!$E$81+'[1] DEUDA MUNICIPIOS NO AVALADOS'!$E$82+'[1] DEUDA MUNICIPIOS NO AVALADOS'!$E$83</f>
        <v>465398.53</v>
      </c>
      <c r="C317" s="19"/>
      <c r="D317" s="229"/>
    </row>
    <row r="318" spans="1:4" ht="12.75" hidden="1">
      <c r="A318" s="2" t="s">
        <v>267</v>
      </c>
      <c r="B318" s="222">
        <f>'[1] DEUDA MUNICIPIOS NO AVALADOS'!$E$81+'[1] DEUDA MUNICIPIOS NO AVALADOS'!$E$82+'[1] DEUDA MUNICIPIOS NO AVALADOS'!$E$83</f>
        <v>465398.53</v>
      </c>
      <c r="C318" s="19"/>
      <c r="D318" s="229"/>
    </row>
    <row r="319" spans="1:4" ht="12.75" hidden="1">
      <c r="A319" s="2" t="s">
        <v>268</v>
      </c>
      <c r="B319" s="222">
        <f>'[1] DEUDA MUNICIPIOS NO AVALADOS'!$E$81+'[1] DEUDA MUNICIPIOS NO AVALADOS'!$E$82+'[1] DEUDA MUNICIPIOS NO AVALADOS'!$E$83</f>
        <v>465398.53</v>
      </c>
      <c r="C319" s="19"/>
      <c r="D319" s="229"/>
    </row>
    <row r="320" spans="1:4" ht="12.75" hidden="1">
      <c r="A320" s="2"/>
      <c r="B320" s="222"/>
      <c r="C320" s="19"/>
      <c r="D320" s="229"/>
    </row>
    <row r="321" spans="1:4" ht="12.75">
      <c r="A321" s="18" t="s">
        <v>149</v>
      </c>
      <c r="B321" s="222">
        <f>SUM(' DEUDA MUNICIPIOS NO AVALADOS'!E95:E103)*12</f>
        <v>254193825.24</v>
      </c>
      <c r="C321" s="232">
        <v>3896354513</v>
      </c>
      <c r="D321" s="229">
        <f>B321/C321</f>
        <v>0.06523888532008433</v>
      </c>
    </row>
    <row r="322" spans="1:4" ht="12.75" hidden="1">
      <c r="A322" s="2" t="s">
        <v>257</v>
      </c>
      <c r="B322" s="222">
        <v>5221894.7</v>
      </c>
      <c r="C322" s="20"/>
      <c r="D322" s="229"/>
    </row>
    <row r="323" spans="1:4" ht="12.75" hidden="1">
      <c r="A323" s="2" t="s">
        <v>258</v>
      </c>
      <c r="B323" s="222">
        <v>5072588.24</v>
      </c>
      <c r="C323" s="20"/>
      <c r="D323" s="229"/>
    </row>
    <row r="324" spans="1:4" ht="12.75" hidden="1">
      <c r="A324" s="2" t="s">
        <v>259</v>
      </c>
      <c r="B324" s="222">
        <v>5287014.45</v>
      </c>
      <c r="C324" s="20"/>
      <c r="D324" s="229"/>
    </row>
    <row r="325" spans="1:4" ht="12.75" hidden="1">
      <c r="A325" s="2" t="s">
        <v>260</v>
      </c>
      <c r="B325" s="222">
        <v>4798533.9</v>
      </c>
      <c r="C325" s="20"/>
      <c r="D325" s="229"/>
    </row>
    <row r="326" spans="1:4" ht="12.75" hidden="1">
      <c r="A326" s="2" t="s">
        <v>261</v>
      </c>
      <c r="B326" s="222">
        <v>4999445.3</v>
      </c>
      <c r="C326" s="20"/>
      <c r="D326" s="229"/>
    </row>
    <row r="327" spans="1:4" ht="12.75" hidden="1">
      <c r="A327" s="2" t="s">
        <v>262</v>
      </c>
      <c r="B327" s="222">
        <v>8189938.23</v>
      </c>
      <c r="C327" s="20"/>
      <c r="D327" s="229"/>
    </row>
    <row r="328" spans="1:4" ht="12.75" hidden="1">
      <c r="A328" s="2" t="s">
        <v>263</v>
      </c>
      <c r="B328" s="222">
        <v>8760090.25</v>
      </c>
      <c r="C328" s="20"/>
      <c r="D328" s="229"/>
    </row>
    <row r="329" spans="1:4" ht="12.75" hidden="1">
      <c r="A329" s="2" t="s">
        <v>264</v>
      </c>
      <c r="B329" s="222">
        <v>9834160.05</v>
      </c>
      <c r="C329" s="20"/>
      <c r="D329" s="229"/>
    </row>
    <row r="330" spans="1:4" ht="12.75" hidden="1">
      <c r="A330" s="2" t="s">
        <v>265</v>
      </c>
      <c r="B330" s="222" t="e">
        <f>'[1] DEUDA MUNICIPIOS NO AVALADOS'!$E$87+'[1] DEUDA MUNICIPIOS NO AVALADOS'!$E$88+'[1] DEUDA MUNICIPIOS NO AVALADOS'!$E$89+'[1] DEUDA MUNICIPIOS NO AVALADOS'!#REF!+'[1] DEUDA MUNICIPIOS NO AVALADOS'!$E$90</f>
        <v>#REF!</v>
      </c>
      <c r="C330" s="20"/>
      <c r="D330" s="229"/>
    </row>
    <row r="331" spans="1:4" ht="12.75" hidden="1">
      <c r="A331" s="2" t="s">
        <v>266</v>
      </c>
      <c r="B331" s="222" t="e">
        <f>'[1] DEUDA MUNICIPIOS NO AVALADOS'!$E$87+'[1] DEUDA MUNICIPIOS NO AVALADOS'!$E$88+'[1] DEUDA MUNICIPIOS NO AVALADOS'!$E$89+'[1] DEUDA MUNICIPIOS NO AVALADOS'!#REF!+'[1] DEUDA MUNICIPIOS NO AVALADOS'!$E$90</f>
        <v>#REF!</v>
      </c>
      <c r="C331" s="20"/>
      <c r="D331" s="229"/>
    </row>
    <row r="332" spans="1:4" ht="12.75" hidden="1">
      <c r="A332" s="2" t="s">
        <v>267</v>
      </c>
      <c r="B332" s="222" t="e">
        <f>'[1] DEUDA MUNICIPIOS NO AVALADOS'!$E$87+'[1] DEUDA MUNICIPIOS NO AVALADOS'!$E$88+'[1] DEUDA MUNICIPIOS NO AVALADOS'!$E$89+'[1] DEUDA MUNICIPIOS NO AVALADOS'!#REF!+'[1] DEUDA MUNICIPIOS NO AVALADOS'!$E$90</f>
        <v>#REF!</v>
      </c>
      <c r="C332" s="20"/>
      <c r="D332" s="229"/>
    </row>
    <row r="333" spans="1:4" ht="12.75" hidden="1">
      <c r="A333" s="2" t="s">
        <v>268</v>
      </c>
      <c r="B333" s="222" t="e">
        <f>'[1] DEUDA MUNICIPIOS NO AVALADOS'!$E$87+'[1] DEUDA MUNICIPIOS NO AVALADOS'!$E$88+'[1] DEUDA MUNICIPIOS NO AVALADOS'!$E$89+'[1] DEUDA MUNICIPIOS NO AVALADOS'!#REF!+'[1] DEUDA MUNICIPIOS NO AVALADOS'!$E$90</f>
        <v>#REF!</v>
      </c>
      <c r="C333" s="20"/>
      <c r="D333" s="229"/>
    </row>
    <row r="334" spans="1:4" ht="12.75" hidden="1">
      <c r="A334" s="2"/>
      <c r="B334" s="222"/>
      <c r="C334" s="20"/>
      <c r="D334" s="229"/>
    </row>
    <row r="335" spans="1:4" ht="12.75" hidden="1">
      <c r="A335" s="2" t="s">
        <v>257</v>
      </c>
      <c r="B335" s="222">
        <v>642518.09</v>
      </c>
      <c r="C335" s="20"/>
      <c r="D335" s="229"/>
    </row>
    <row r="336" spans="1:4" ht="12.75" hidden="1">
      <c r="A336" s="2" t="s">
        <v>258</v>
      </c>
      <c r="B336" s="222">
        <v>770055.7</v>
      </c>
      <c r="C336" s="20"/>
      <c r="D336" s="229"/>
    </row>
    <row r="337" spans="1:4" ht="12.75" hidden="1">
      <c r="A337" s="2" t="s">
        <v>259</v>
      </c>
      <c r="B337" s="222">
        <v>788734.37</v>
      </c>
      <c r="C337" s="20"/>
      <c r="D337" s="229"/>
    </row>
    <row r="338" spans="1:4" ht="12.75" hidden="1">
      <c r="A338" s="2" t="s">
        <v>260</v>
      </c>
      <c r="B338" s="222">
        <v>751579.6</v>
      </c>
      <c r="C338" s="20"/>
      <c r="D338" s="229"/>
    </row>
    <row r="339" spans="1:4" ht="12.75" hidden="1">
      <c r="A339" s="2" t="s">
        <v>261</v>
      </c>
      <c r="B339" s="222">
        <v>1115581.1</v>
      </c>
      <c r="C339" s="20"/>
      <c r="D339" s="229"/>
    </row>
    <row r="340" spans="1:4" ht="12.75" hidden="1">
      <c r="A340" s="2" t="s">
        <v>262</v>
      </c>
      <c r="B340" s="222">
        <v>793216.78</v>
      </c>
      <c r="C340" s="20"/>
      <c r="D340" s="229"/>
    </row>
    <row r="341" spans="1:4" ht="12.75" hidden="1">
      <c r="A341" s="2" t="s">
        <v>263</v>
      </c>
      <c r="B341" s="222">
        <v>747769.32</v>
      </c>
      <c r="C341" s="20"/>
      <c r="D341" s="229"/>
    </row>
    <row r="342" spans="1:4" ht="12.75" hidden="1">
      <c r="A342" s="2" t="s">
        <v>264</v>
      </c>
      <c r="B342" s="222">
        <v>774825.3700000001</v>
      </c>
      <c r="C342" s="20"/>
      <c r="D342" s="229"/>
    </row>
    <row r="343" spans="1:4" ht="12.75" hidden="1">
      <c r="A343" s="2" t="s">
        <v>265</v>
      </c>
      <c r="B343" s="222" t="e">
        <f>'[1] DEUDA MUNICIPIOS NO AVALADOS'!#REF!+'[1] DEUDA MUNICIPIOS NO AVALADOS'!#REF!+'[1] DEUDA MUNICIPIOS NO AVALADOS'!#REF!</f>
        <v>#REF!</v>
      </c>
      <c r="C343" s="20"/>
      <c r="D343" s="229"/>
    </row>
    <row r="344" spans="1:4" ht="12.75" hidden="1">
      <c r="A344" s="2" t="s">
        <v>266</v>
      </c>
      <c r="B344" s="222" t="e">
        <f>'[1] DEUDA MUNICIPIOS NO AVALADOS'!#REF!+'[1] DEUDA MUNICIPIOS NO AVALADOS'!#REF!+'[1] DEUDA MUNICIPIOS NO AVALADOS'!#REF!</f>
        <v>#REF!</v>
      </c>
      <c r="C344" s="20"/>
      <c r="D344" s="229"/>
    </row>
    <row r="345" spans="1:4" ht="12.75" hidden="1">
      <c r="A345" s="2" t="s">
        <v>267</v>
      </c>
      <c r="B345" s="222" t="e">
        <f>'[1] DEUDA MUNICIPIOS NO AVALADOS'!#REF!+'[1] DEUDA MUNICIPIOS NO AVALADOS'!#REF!+'[1] DEUDA MUNICIPIOS NO AVALADOS'!#REF!</f>
        <v>#REF!</v>
      </c>
      <c r="C345" s="20"/>
      <c r="D345" s="229"/>
    </row>
    <row r="346" spans="1:4" ht="12.75" hidden="1">
      <c r="A346" s="2" t="s">
        <v>268</v>
      </c>
      <c r="B346" s="222" t="e">
        <f>'[1] DEUDA MUNICIPIOS NO AVALADOS'!#REF!+'[1] DEUDA MUNICIPIOS NO AVALADOS'!#REF!+'[1] DEUDA MUNICIPIOS NO AVALADOS'!#REF!</f>
        <v>#REF!</v>
      </c>
      <c r="C346" s="20"/>
      <c r="D346" s="229"/>
    </row>
    <row r="347" spans="1:4" ht="12.75" hidden="1">
      <c r="A347" s="2"/>
      <c r="B347" s="222"/>
      <c r="C347" s="20"/>
      <c r="D347" s="229"/>
    </row>
    <row r="348" spans="1:4" ht="12.75">
      <c r="A348" s="18" t="s">
        <v>159</v>
      </c>
      <c r="B348" s="222">
        <f>SUM(' DEUDA MUNICIPIOS NO AVALADOS'!E109:E110)*12</f>
        <v>3030479.76</v>
      </c>
      <c r="C348" s="232">
        <v>42279404</v>
      </c>
      <c r="D348" s="229">
        <f>B348/C348</f>
        <v>0.0716774474871973</v>
      </c>
    </row>
    <row r="349" spans="1:4" ht="12.75" hidden="1">
      <c r="A349" s="2" t="s">
        <v>257</v>
      </c>
      <c r="B349" s="222">
        <v>19863.01</v>
      </c>
      <c r="C349" s="20"/>
      <c r="D349" s="229"/>
    </row>
    <row r="350" spans="1:4" ht="12.75" hidden="1">
      <c r="A350" s="2" t="s">
        <v>258</v>
      </c>
      <c r="B350" s="222">
        <v>19863.01</v>
      </c>
      <c r="C350" s="20"/>
      <c r="D350" s="229"/>
    </row>
    <row r="351" spans="1:4" ht="12.75" hidden="1">
      <c r="A351" s="2" t="s">
        <v>259</v>
      </c>
      <c r="B351" s="222">
        <v>19863.01</v>
      </c>
      <c r="C351" s="20"/>
      <c r="D351" s="229"/>
    </row>
    <row r="352" spans="1:4" ht="12.75" hidden="1">
      <c r="A352" s="2" t="s">
        <v>260</v>
      </c>
      <c r="B352" s="222">
        <v>19863.01</v>
      </c>
      <c r="C352" s="20"/>
      <c r="D352" s="229"/>
    </row>
    <row r="353" spans="1:4" ht="12.75" hidden="1">
      <c r="A353" s="2" t="s">
        <v>261</v>
      </c>
      <c r="B353" s="222">
        <v>19863.01</v>
      </c>
      <c r="C353" s="20"/>
      <c r="D353" s="229"/>
    </row>
    <row r="354" spans="1:4" ht="12.75" hidden="1">
      <c r="A354" s="2" t="s">
        <v>262</v>
      </c>
      <c r="B354" s="222">
        <v>19863.01</v>
      </c>
      <c r="C354" s="20"/>
      <c r="D354" s="229"/>
    </row>
    <row r="355" spans="1:4" ht="12.75" hidden="1">
      <c r="A355" s="2" t="s">
        <v>263</v>
      </c>
      <c r="B355" s="222">
        <v>19863.01</v>
      </c>
      <c r="C355" s="20"/>
      <c r="D355" s="229"/>
    </row>
    <row r="356" spans="1:4" ht="12.75" hidden="1">
      <c r="A356" s="2" t="s">
        <v>264</v>
      </c>
      <c r="B356" s="222">
        <v>22209.969999999998</v>
      </c>
      <c r="C356" s="20"/>
      <c r="D356" s="229"/>
    </row>
    <row r="357" spans="1:4" ht="12.75" hidden="1">
      <c r="A357" s="2" t="s">
        <v>265</v>
      </c>
      <c r="B357" s="222">
        <f>'[1] DEUDA MUNICIPIOS NO AVALADOS'!$E$104</f>
        <v>24250.85</v>
      </c>
      <c r="C357" s="20"/>
      <c r="D357" s="229"/>
    </row>
    <row r="358" spans="1:4" ht="12.75" hidden="1">
      <c r="A358" s="2" t="s">
        <v>266</v>
      </c>
      <c r="B358" s="222">
        <f>'[1] DEUDA MUNICIPIOS NO AVALADOS'!$E$104</f>
        <v>24250.85</v>
      </c>
      <c r="C358" s="20"/>
      <c r="D358" s="229"/>
    </row>
    <row r="359" spans="1:4" ht="12.75" hidden="1">
      <c r="A359" s="2" t="s">
        <v>267</v>
      </c>
      <c r="B359" s="222">
        <f>'[1] DEUDA MUNICIPIOS NO AVALADOS'!$E$104</f>
        <v>24250.85</v>
      </c>
      <c r="C359" s="20"/>
      <c r="D359" s="229"/>
    </row>
    <row r="360" spans="1:4" ht="12.75" hidden="1">
      <c r="A360" s="2" t="s">
        <v>268</v>
      </c>
      <c r="B360" s="222">
        <f>'[1] DEUDA MUNICIPIOS NO AVALADOS'!$E$104</f>
        <v>24250.85</v>
      </c>
      <c r="C360" s="20"/>
      <c r="D360" s="229"/>
    </row>
    <row r="361" spans="1:4" ht="12.75" hidden="1">
      <c r="A361" s="2"/>
      <c r="B361" s="222"/>
      <c r="C361" s="20"/>
      <c r="D361" s="229"/>
    </row>
    <row r="362" spans="1:4" ht="12.75">
      <c r="A362" s="18" t="s">
        <v>161</v>
      </c>
      <c r="B362" s="222">
        <f>SUM(' DEUDA MUNICIPIOS NO AVALADOS'!E113:E114)*12</f>
        <v>2580764.64</v>
      </c>
      <c r="C362" s="232">
        <v>102215410</v>
      </c>
      <c r="D362" s="229">
        <f>B362/C362</f>
        <v>0.02524829318788625</v>
      </c>
    </row>
    <row r="363" spans="1:4" ht="12.75" hidden="1">
      <c r="A363" s="2" t="s">
        <v>257</v>
      </c>
      <c r="B363" s="222">
        <v>28014.07</v>
      </c>
      <c r="C363" s="20"/>
      <c r="D363" s="229"/>
    </row>
    <row r="364" spans="1:4" ht="12.75" hidden="1">
      <c r="A364" s="2" t="s">
        <v>258</v>
      </c>
      <c r="B364" s="222">
        <v>28014.07</v>
      </c>
      <c r="C364" s="20"/>
      <c r="D364" s="229"/>
    </row>
    <row r="365" spans="1:4" ht="12.75" hidden="1">
      <c r="A365" s="2" t="s">
        <v>259</v>
      </c>
      <c r="B365" s="222">
        <v>17442.89</v>
      </c>
      <c r="C365" s="20"/>
      <c r="D365" s="229"/>
    </row>
    <row r="366" spans="1:4" ht="12.75" hidden="1">
      <c r="A366" s="2" t="s">
        <v>260</v>
      </c>
      <c r="B366" s="222">
        <v>28014.07</v>
      </c>
      <c r="C366" s="20"/>
      <c r="D366" s="229"/>
    </row>
    <row r="367" spans="1:4" ht="12.75" hidden="1">
      <c r="A367" s="2" t="s">
        <v>261</v>
      </c>
      <c r="B367" s="222">
        <v>22043.08</v>
      </c>
      <c r="C367" s="20"/>
      <c r="D367" s="229"/>
    </row>
    <row r="368" spans="1:4" ht="12.75" hidden="1">
      <c r="A368" s="2" t="s">
        <v>262</v>
      </c>
      <c r="B368" s="222">
        <v>27718.06</v>
      </c>
      <c r="C368" s="20"/>
      <c r="D368" s="229"/>
    </row>
    <row r="369" spans="1:4" ht="12.75" hidden="1">
      <c r="A369" s="2" t="s">
        <v>263</v>
      </c>
      <c r="B369" s="222">
        <v>25160.65</v>
      </c>
      <c r="C369" s="20"/>
      <c r="D369" s="229"/>
    </row>
    <row r="370" spans="1:4" ht="12.75" hidden="1">
      <c r="A370" s="2" t="s">
        <v>264</v>
      </c>
      <c r="B370" s="222">
        <v>25138.559999999998</v>
      </c>
      <c r="C370" s="20"/>
      <c r="D370" s="229"/>
    </row>
    <row r="371" spans="1:4" ht="12.75" hidden="1">
      <c r="A371" s="2" t="s">
        <v>265</v>
      </c>
      <c r="B371" s="222">
        <f>'[1] DEUDA MUNICIPIOS NO AVALADOS'!$E$107</f>
        <v>22069.05</v>
      </c>
      <c r="C371" s="20"/>
      <c r="D371" s="229"/>
    </row>
    <row r="372" spans="1:4" ht="12.75" hidden="1">
      <c r="A372" s="2" t="s">
        <v>266</v>
      </c>
      <c r="B372" s="222">
        <f>'[1] DEUDA MUNICIPIOS NO AVALADOS'!$E$107</f>
        <v>22069.05</v>
      </c>
      <c r="C372" s="20"/>
      <c r="D372" s="229"/>
    </row>
    <row r="373" spans="1:4" ht="12.75" hidden="1">
      <c r="A373" s="2" t="s">
        <v>267</v>
      </c>
      <c r="B373" s="222">
        <f>'[1] DEUDA MUNICIPIOS NO AVALADOS'!$E$107</f>
        <v>22069.05</v>
      </c>
      <c r="C373" s="20"/>
      <c r="D373" s="229"/>
    </row>
    <row r="374" spans="1:4" ht="12.75" hidden="1">
      <c r="A374" s="2" t="s">
        <v>268</v>
      </c>
      <c r="B374" s="222">
        <f>'[1] DEUDA MUNICIPIOS NO AVALADOS'!$E$107</f>
        <v>22069.05</v>
      </c>
      <c r="C374" s="20"/>
      <c r="D374" s="229"/>
    </row>
    <row r="375" spans="1:4" ht="12.75" hidden="1">
      <c r="A375" s="2"/>
      <c r="B375" s="222"/>
      <c r="C375" s="20"/>
      <c r="D375" s="229"/>
    </row>
    <row r="376" spans="1:4" ht="12.75">
      <c r="A376" s="18" t="s">
        <v>88</v>
      </c>
      <c r="B376" s="222">
        <f>' DEUDA MUNICIPIOS NO AVALADOS'!E117*12</f>
        <v>380545.68</v>
      </c>
      <c r="C376" s="232">
        <v>9781062</v>
      </c>
      <c r="D376" s="229">
        <f>B376/C376</f>
        <v>0.03890637642415517</v>
      </c>
    </row>
    <row r="377" spans="1:4" ht="12.75" hidden="1">
      <c r="A377" s="2" t="s">
        <v>257</v>
      </c>
      <c r="B377" s="222">
        <f>'[1]DEUDA MUNICIPIOS AVALadOS'!$E$52+'[1] DEUDA MUNICIPIOS NO AVALADOS'!$E$110</f>
        <v>36793</v>
      </c>
      <c r="C377" s="20"/>
      <c r="D377" s="229"/>
    </row>
    <row r="378" spans="1:4" ht="12.75" hidden="1">
      <c r="A378" s="2" t="s">
        <v>258</v>
      </c>
      <c r="B378" s="222">
        <f>'[1]DEUDA MUNICIPIOS AVALadOS'!$E$52+'[1] DEUDA MUNICIPIOS NO AVALADOS'!$E$110</f>
        <v>36793</v>
      </c>
      <c r="C378" s="19"/>
      <c r="D378" s="229"/>
    </row>
    <row r="379" spans="1:4" ht="12.75" hidden="1">
      <c r="A379" s="2" t="s">
        <v>259</v>
      </c>
      <c r="B379" s="222">
        <f>'[1]DEUDA MUNICIPIOS AVALadOS'!$E$52+'[1] DEUDA MUNICIPIOS NO AVALADOS'!$E$110</f>
        <v>36793</v>
      </c>
      <c r="C379" s="19"/>
      <c r="D379" s="230"/>
    </row>
    <row r="380" spans="1:4" ht="12.75" hidden="1">
      <c r="A380" s="2" t="s">
        <v>260</v>
      </c>
      <c r="B380" s="222">
        <f>'[1]DEUDA MUNICIPIOS AVALadOS'!$E$52+'[1] DEUDA MUNICIPIOS NO AVALADOS'!$E$110</f>
        <v>36793</v>
      </c>
      <c r="C380" s="20"/>
      <c r="D380" s="229"/>
    </row>
    <row r="381" spans="1:4" ht="12.75" hidden="1">
      <c r="A381" s="2" t="s">
        <v>261</v>
      </c>
      <c r="B381" s="222">
        <f>'[1]DEUDA MUNICIPIOS AVALadOS'!$E$52+'[1] DEUDA MUNICIPIOS NO AVALADOS'!$E$110</f>
        <v>36793</v>
      </c>
      <c r="C381" s="20"/>
      <c r="D381" s="229"/>
    </row>
    <row r="382" spans="1:4" ht="12.75" hidden="1">
      <c r="A382" s="2" t="s">
        <v>262</v>
      </c>
      <c r="B382" s="222">
        <f>'[1]DEUDA MUNICIPIOS AVALadOS'!$E$52+'[1] DEUDA MUNICIPIOS NO AVALADOS'!$E$110</f>
        <v>36793</v>
      </c>
      <c r="C382" s="19"/>
      <c r="D382" s="229"/>
    </row>
    <row r="383" spans="1:4" ht="12.75" hidden="1">
      <c r="A383" s="2" t="s">
        <v>263</v>
      </c>
      <c r="B383" s="222">
        <f>'[1]DEUDA MUNICIPIOS AVALadOS'!$E$52+'[1] DEUDA MUNICIPIOS NO AVALADOS'!$E$110</f>
        <v>36793</v>
      </c>
      <c r="C383" s="19"/>
      <c r="D383" s="229"/>
    </row>
    <row r="384" spans="1:4" ht="12.75" hidden="1">
      <c r="A384" s="2" t="s">
        <v>264</v>
      </c>
      <c r="B384" s="222">
        <f>'[1]DEUDA MUNICIPIOS AVALadOS'!$E$52+'[1] DEUDA MUNICIPIOS NO AVALADOS'!$E$110</f>
        <v>36793</v>
      </c>
      <c r="C384" s="19"/>
      <c r="D384" s="229"/>
    </row>
    <row r="385" spans="1:4" ht="12.75" hidden="1">
      <c r="A385" s="2" t="s">
        <v>265</v>
      </c>
      <c r="B385" s="222">
        <f>'[1]DEUDA MUNICIPIOS AVALadOS'!$E$52+'[1] DEUDA MUNICIPIOS NO AVALADOS'!$E$110</f>
        <v>36793</v>
      </c>
      <c r="C385" s="19"/>
      <c r="D385" s="229"/>
    </row>
    <row r="386" spans="1:4" ht="12.75" hidden="1">
      <c r="A386" s="2" t="s">
        <v>266</v>
      </c>
      <c r="B386" s="222">
        <f>'[1]DEUDA MUNICIPIOS AVALadOS'!$E$52+'[1] DEUDA MUNICIPIOS NO AVALADOS'!$E$110</f>
        <v>36793</v>
      </c>
      <c r="C386" s="19"/>
      <c r="D386" s="229"/>
    </row>
    <row r="387" spans="1:4" ht="12.75" hidden="1">
      <c r="A387" s="2" t="s">
        <v>267</v>
      </c>
      <c r="B387" s="222">
        <f>'[1]DEUDA MUNICIPIOS AVALadOS'!$E$52+'[1] DEUDA MUNICIPIOS NO AVALADOS'!$E$110</f>
        <v>36793</v>
      </c>
      <c r="C387" s="19"/>
      <c r="D387" s="229"/>
    </row>
    <row r="388" spans="1:4" ht="12.75" hidden="1">
      <c r="A388" s="2" t="s">
        <v>268</v>
      </c>
      <c r="B388" s="222">
        <f>'[1]DEUDA MUNICIPIOS AVALadOS'!$E$52+'[1] DEUDA MUNICIPIOS NO AVALADOS'!$E$110</f>
        <v>36793</v>
      </c>
      <c r="C388" s="19"/>
      <c r="D388" s="229"/>
    </row>
    <row r="389" spans="1:4" ht="12.75" hidden="1">
      <c r="A389" s="2"/>
      <c r="B389" s="222"/>
      <c r="C389" s="19"/>
      <c r="D389" s="229"/>
    </row>
    <row r="390" spans="1:4" ht="12.75" hidden="1">
      <c r="A390" s="2" t="s">
        <v>257</v>
      </c>
      <c r="B390" s="222">
        <v>13572.77</v>
      </c>
      <c r="C390" s="19"/>
      <c r="D390" s="229"/>
    </row>
    <row r="391" spans="1:4" ht="12.75" hidden="1">
      <c r="A391" s="2" t="s">
        <v>258</v>
      </c>
      <c r="B391" s="222">
        <v>13645.21</v>
      </c>
      <c r="C391" s="19"/>
      <c r="D391" s="229"/>
    </row>
    <row r="392" spans="1:4" ht="12.75" hidden="1">
      <c r="A392" s="2" t="s">
        <v>259</v>
      </c>
      <c r="B392" s="222">
        <v>13416.27</v>
      </c>
      <c r="C392" s="19"/>
      <c r="D392" s="229"/>
    </row>
    <row r="393" spans="1:4" ht="12.75" hidden="1">
      <c r="A393" s="2" t="s">
        <v>260</v>
      </c>
      <c r="B393" s="222">
        <v>13801.67</v>
      </c>
      <c r="C393" s="19"/>
      <c r="D393" s="229"/>
    </row>
    <row r="394" spans="1:4" ht="12.75" hidden="1">
      <c r="A394" s="2" t="s">
        <v>261</v>
      </c>
      <c r="B394" s="222">
        <v>13700.65</v>
      </c>
      <c r="C394" s="19"/>
      <c r="D394" s="229"/>
    </row>
    <row r="395" spans="1:4" ht="12.75" hidden="1">
      <c r="A395" s="2" t="s">
        <v>262</v>
      </c>
      <c r="B395" s="222">
        <v>13739.11</v>
      </c>
      <c r="C395" s="19"/>
      <c r="D395" s="229"/>
    </row>
    <row r="396" spans="1:4" ht="12.75" hidden="1">
      <c r="A396" s="2" t="s">
        <v>263</v>
      </c>
      <c r="B396" s="222">
        <v>13642.99</v>
      </c>
      <c r="C396" s="19"/>
      <c r="D396" s="230"/>
    </row>
    <row r="397" spans="1:4" ht="12.75" hidden="1">
      <c r="A397" s="2" t="s">
        <v>264</v>
      </c>
      <c r="B397" s="222">
        <v>13717.97420578</v>
      </c>
      <c r="C397" s="20"/>
      <c r="D397" s="229"/>
    </row>
    <row r="398" spans="1:4" ht="12.75" hidden="1">
      <c r="A398" s="2" t="s">
        <v>265</v>
      </c>
      <c r="B398" s="222">
        <f>'[1]DEUDA MUNICIPIOS AVALadOS'!$E$56</f>
        <v>14613.82</v>
      </c>
      <c r="C398" s="19"/>
      <c r="D398" s="229"/>
    </row>
    <row r="399" spans="1:4" ht="14.25" customHeight="1" hidden="1">
      <c r="A399" s="2" t="s">
        <v>266</v>
      </c>
      <c r="B399" s="222">
        <f>'[1]DEUDA MUNICIPIOS AVALadOS'!$E$56</f>
        <v>14613.82</v>
      </c>
      <c r="C399" s="19"/>
      <c r="D399" s="229"/>
    </row>
    <row r="400" spans="1:4" ht="12.75" hidden="1">
      <c r="A400" s="2" t="s">
        <v>267</v>
      </c>
      <c r="B400" s="222">
        <f>'[1]DEUDA MUNICIPIOS AVALadOS'!$E$56</f>
        <v>14613.82</v>
      </c>
      <c r="C400" s="19"/>
      <c r="D400" s="230"/>
    </row>
    <row r="401" spans="1:4" ht="12.75" hidden="1">
      <c r="A401" s="2" t="s">
        <v>268</v>
      </c>
      <c r="B401" s="222">
        <f>'[1]DEUDA MUNICIPIOS AVALadOS'!$E$56</f>
        <v>14613.82</v>
      </c>
      <c r="C401" s="20"/>
      <c r="D401" s="229"/>
    </row>
    <row r="402" spans="1:4" ht="12.75" hidden="1">
      <c r="A402" s="2"/>
      <c r="B402" s="222"/>
      <c r="C402" s="20"/>
      <c r="D402" s="229"/>
    </row>
    <row r="403" spans="1:4" ht="12.75">
      <c r="A403" s="18" t="s">
        <v>164</v>
      </c>
      <c r="B403" s="222">
        <f>SUM(' DEUDA MUNICIPIOS NO AVALADOS'!E120:E121)*12</f>
        <v>998266.3995612</v>
      </c>
      <c r="C403" s="232">
        <v>27681520</v>
      </c>
      <c r="D403" s="229">
        <f>B403/C403</f>
        <v>0.03606255724256471</v>
      </c>
    </row>
    <row r="404" spans="1:4" ht="12.75" hidden="1">
      <c r="A404" s="2" t="s">
        <v>257</v>
      </c>
      <c r="B404" s="222">
        <v>74205.34</v>
      </c>
      <c r="C404" s="19"/>
      <c r="D404" s="229" t="e">
        <f aca="true" t="shared" si="0" ref="D404:D416">B404/C404</f>
        <v>#DIV/0!</v>
      </c>
    </row>
    <row r="405" spans="1:4" ht="12.75" hidden="1">
      <c r="A405" s="2" t="s">
        <v>258</v>
      </c>
      <c r="B405" s="222">
        <v>71135.1</v>
      </c>
      <c r="C405" s="19"/>
      <c r="D405" s="229" t="e">
        <f t="shared" si="0"/>
        <v>#DIV/0!</v>
      </c>
    </row>
    <row r="406" spans="1:4" ht="12.75" hidden="1">
      <c r="A406" s="2" t="s">
        <v>259</v>
      </c>
      <c r="B406" s="222">
        <v>73487.06</v>
      </c>
      <c r="C406" s="19"/>
      <c r="D406" s="229" t="e">
        <f t="shared" si="0"/>
        <v>#DIV/0!</v>
      </c>
    </row>
    <row r="407" spans="1:4" ht="12.75" hidden="1">
      <c r="A407" s="2" t="s">
        <v>260</v>
      </c>
      <c r="B407" s="222">
        <v>72247.39</v>
      </c>
      <c r="C407" s="19"/>
      <c r="D407" s="229" t="e">
        <f t="shared" si="0"/>
        <v>#DIV/0!</v>
      </c>
    </row>
    <row r="408" spans="1:4" ht="12.75" hidden="1">
      <c r="A408" s="2" t="s">
        <v>261</v>
      </c>
      <c r="B408" s="222">
        <v>72768.78</v>
      </c>
      <c r="C408" s="19"/>
      <c r="D408" s="229" t="e">
        <f t="shared" si="0"/>
        <v>#DIV/0!</v>
      </c>
    </row>
    <row r="409" spans="1:4" ht="12.75" hidden="1">
      <c r="A409" s="2" t="s">
        <v>262</v>
      </c>
      <c r="B409" s="222">
        <v>71552.28</v>
      </c>
      <c r="C409" s="19"/>
      <c r="D409" s="229" t="e">
        <f t="shared" si="0"/>
        <v>#DIV/0!</v>
      </c>
    </row>
    <row r="410" spans="1:4" ht="12.75" hidden="1">
      <c r="A410" s="2" t="s">
        <v>263</v>
      </c>
      <c r="B410" s="222">
        <v>72050.5</v>
      </c>
      <c r="C410" s="19"/>
      <c r="D410" s="229" t="e">
        <f t="shared" si="0"/>
        <v>#DIV/0!</v>
      </c>
    </row>
    <row r="411" spans="1:4" ht="12.75" hidden="1">
      <c r="A411" s="2" t="s">
        <v>264</v>
      </c>
      <c r="B411" s="222">
        <v>71691.36</v>
      </c>
      <c r="C411" s="19"/>
      <c r="D411" s="229" t="e">
        <f t="shared" si="0"/>
        <v>#DIV/0!</v>
      </c>
    </row>
    <row r="412" spans="1:4" ht="12.75" hidden="1">
      <c r="A412" s="2" t="s">
        <v>265</v>
      </c>
      <c r="B412" s="222">
        <f>'[1] DEUDA MUNICIPIOS NO AVALADOS'!$E$113+'[1] DEUDA MUNICIPIOS NO AVALADOS'!$E$114</f>
        <v>85965.87706471999</v>
      </c>
      <c r="C412" s="19"/>
      <c r="D412" s="229" t="e">
        <f t="shared" si="0"/>
        <v>#DIV/0!</v>
      </c>
    </row>
    <row r="413" spans="1:4" ht="12.75" hidden="1">
      <c r="A413" s="2" t="s">
        <v>266</v>
      </c>
      <c r="B413" s="222">
        <f>'[1] DEUDA MUNICIPIOS NO AVALADOS'!$E$113+'[1] DEUDA MUNICIPIOS NO AVALADOS'!$E$114</f>
        <v>85965.87706471999</v>
      </c>
      <c r="C413" s="19"/>
      <c r="D413" s="229" t="e">
        <f t="shared" si="0"/>
        <v>#DIV/0!</v>
      </c>
    </row>
    <row r="414" spans="1:4" ht="12.75" hidden="1">
      <c r="A414" s="2" t="s">
        <v>267</v>
      </c>
      <c r="B414" s="222">
        <f>'[1] DEUDA MUNICIPIOS NO AVALADOS'!$E$113+'[1] DEUDA MUNICIPIOS NO AVALADOS'!$E$114</f>
        <v>85965.87706471999</v>
      </c>
      <c r="C414" s="19"/>
      <c r="D414" s="229" t="e">
        <f t="shared" si="0"/>
        <v>#DIV/0!</v>
      </c>
    </row>
    <row r="415" spans="1:4" ht="12.75" hidden="1">
      <c r="A415" s="2" t="s">
        <v>268</v>
      </c>
      <c r="B415" s="222">
        <f>'[1] DEUDA MUNICIPIOS NO AVALADOS'!$E$113+'[1] DEUDA MUNICIPIOS NO AVALADOS'!$E$114</f>
        <v>85965.87706471999</v>
      </c>
      <c r="C415" s="19"/>
      <c r="D415" s="229" t="e">
        <f t="shared" si="0"/>
        <v>#DIV/0!</v>
      </c>
    </row>
    <row r="416" spans="1:4" ht="12.75" hidden="1">
      <c r="A416" s="2"/>
      <c r="B416" s="222"/>
      <c r="C416" s="19"/>
      <c r="D416" s="229" t="e">
        <f t="shared" si="0"/>
        <v>#DIV/0!</v>
      </c>
    </row>
    <row r="417" spans="1:4" ht="14.25">
      <c r="A417" s="18" t="s">
        <v>364</v>
      </c>
      <c r="B417" s="222">
        <f>' DEUDA MUNICIPIOS NO AVALADOS'!E124*12</f>
        <v>577895.52</v>
      </c>
      <c r="C417" s="232">
        <v>13658820</v>
      </c>
      <c r="D417" s="229">
        <f>B417/C417</f>
        <v>0.042309329795692456</v>
      </c>
    </row>
    <row r="418" spans="1:4" ht="12.75">
      <c r="A418" s="18" t="s">
        <v>89</v>
      </c>
      <c r="B418" s="222">
        <f>SUM(' DEUDA MUNICIPIOS NO AVALADOS'!E127:E129)*12</f>
        <v>2209176.7199999997</v>
      </c>
      <c r="C418" s="232">
        <v>70311501</v>
      </c>
      <c r="D418" s="229">
        <f>B418/C418</f>
        <v>0.03141984865320966</v>
      </c>
    </row>
    <row r="419" spans="1:4" ht="12.75" hidden="1">
      <c r="A419" s="2" t="s">
        <v>257</v>
      </c>
      <c r="B419" s="222">
        <f>282076.1+18259.89</f>
        <v>300335.99</v>
      </c>
      <c r="C419" s="19"/>
      <c r="D419" s="229"/>
    </row>
    <row r="420" spans="1:4" ht="12.75" hidden="1">
      <c r="A420" s="2" t="s">
        <v>258</v>
      </c>
      <c r="B420" s="222">
        <f>278137.95+18357.44</f>
        <v>296495.39</v>
      </c>
      <c r="C420" s="19"/>
      <c r="D420" s="229"/>
    </row>
    <row r="421" spans="1:4" ht="12.75" hidden="1">
      <c r="A421" s="2" t="s">
        <v>259</v>
      </c>
      <c r="B421" s="222">
        <f>283404.51+18049.79</f>
        <v>301454.3</v>
      </c>
      <c r="C421" s="19"/>
      <c r="D421" s="229"/>
    </row>
    <row r="422" spans="1:4" ht="12.75" hidden="1">
      <c r="A422" s="2" t="s">
        <v>260</v>
      </c>
      <c r="B422" s="222">
        <f>271242.71+18567.86</f>
        <v>289810.57</v>
      </c>
      <c r="C422" s="19"/>
      <c r="D422" s="229"/>
    </row>
    <row r="423" spans="1:4" ht="12.75" hidden="1">
      <c r="A423" s="2" t="s">
        <v>261</v>
      </c>
      <c r="B423" s="222">
        <f>291531.71+18431.98</f>
        <v>309963.69</v>
      </c>
      <c r="C423" s="19"/>
      <c r="D423" s="229"/>
    </row>
    <row r="424" spans="1:4" ht="12.75" hidden="1">
      <c r="A424" s="2" t="s">
        <v>262</v>
      </c>
      <c r="B424" s="222">
        <f>307702.8+18483.73</f>
        <v>326186.52999999997</v>
      </c>
      <c r="C424" s="19"/>
      <c r="D424" s="229"/>
    </row>
    <row r="425" spans="1:4" ht="12.75" hidden="1">
      <c r="A425" s="2" t="s">
        <v>263</v>
      </c>
      <c r="B425" s="222">
        <f>289151.08+18354.42</f>
        <v>307505.5</v>
      </c>
      <c r="C425" s="19"/>
      <c r="D425" s="229"/>
    </row>
    <row r="426" spans="1:4" ht="12.75" hidden="1">
      <c r="A426" s="2" t="s">
        <v>264</v>
      </c>
      <c r="B426" s="222">
        <v>343885.75895116</v>
      </c>
      <c r="C426" s="19"/>
      <c r="D426" s="229"/>
    </row>
    <row r="427" spans="1:4" ht="12.75" hidden="1">
      <c r="A427" s="2" t="s">
        <v>265</v>
      </c>
      <c r="B427" s="222">
        <f>'[1]DEUDA MUNICIPIOS AVALadOS'!$E$60+'[1] DEUDA MUNICIPIOS NO AVALADOS'!$E$117+'[1] DEUDA MUNICIPIOS NO AVALADOS'!$E$118+'[1] DEUDA MUNICIPIOS NO AVALADOS'!$E$119+'[1] DEUDA MUNICIPIOS NO AVALADOS'!$E$120</f>
        <v>296716.01</v>
      </c>
      <c r="C427" s="19"/>
      <c r="D427" s="229"/>
    </row>
    <row r="428" spans="1:4" ht="12.75" hidden="1">
      <c r="A428" s="2" t="s">
        <v>266</v>
      </c>
      <c r="B428" s="222">
        <f>'[1]DEUDA MUNICIPIOS AVALadOS'!$E$60+'[1] DEUDA MUNICIPIOS NO AVALADOS'!$E$117+'[1] DEUDA MUNICIPIOS NO AVALADOS'!$E$118+'[1] DEUDA MUNICIPIOS NO AVALADOS'!$E$119+'[1] DEUDA MUNICIPIOS NO AVALADOS'!$E$120</f>
        <v>296716.01</v>
      </c>
      <c r="C428" s="19"/>
      <c r="D428" s="229"/>
    </row>
    <row r="429" spans="1:4" ht="12.75" hidden="1">
      <c r="A429" s="2" t="s">
        <v>267</v>
      </c>
      <c r="B429" s="222">
        <f>'[1]DEUDA MUNICIPIOS AVALadOS'!$E$60+'[1] DEUDA MUNICIPIOS NO AVALADOS'!$E$117+'[1] DEUDA MUNICIPIOS NO AVALADOS'!$E$118+'[1] DEUDA MUNICIPIOS NO AVALADOS'!$E$119+'[1] DEUDA MUNICIPIOS NO AVALADOS'!$E$120</f>
        <v>296716.01</v>
      </c>
      <c r="C429" s="19"/>
      <c r="D429" s="229"/>
    </row>
    <row r="430" spans="1:4" ht="12.75" hidden="1">
      <c r="A430" s="2" t="s">
        <v>268</v>
      </c>
      <c r="B430" s="222">
        <f>'[1]DEUDA MUNICIPIOS AVALadOS'!$E$60+'[1] DEUDA MUNICIPIOS NO AVALADOS'!$E$117+'[1] DEUDA MUNICIPIOS NO AVALADOS'!$E$118+'[1] DEUDA MUNICIPIOS NO AVALADOS'!$E$119+'[1] DEUDA MUNICIPIOS NO AVALADOS'!$E$120</f>
        <v>296716.01</v>
      </c>
      <c r="C430" s="19"/>
      <c r="D430" s="229"/>
    </row>
    <row r="431" spans="1:4" ht="12.75" hidden="1">
      <c r="A431" s="2"/>
      <c r="B431" s="222"/>
      <c r="C431" s="19"/>
      <c r="D431" s="229"/>
    </row>
    <row r="432" spans="1:4" ht="12.75">
      <c r="A432" s="18" t="s">
        <v>169</v>
      </c>
      <c r="B432" s="222">
        <f>' DEUDA MUNICIPIOS NO AVALADOS'!E132*12</f>
        <v>13020675.600000001</v>
      </c>
      <c r="C432" s="232">
        <v>586140974</v>
      </c>
      <c r="D432" s="229">
        <f>B432/C432</f>
        <v>0.022214238856470052</v>
      </c>
    </row>
    <row r="433" spans="1:4" ht="12.75" hidden="1">
      <c r="A433" s="2" t="s">
        <v>257</v>
      </c>
      <c r="B433" s="222">
        <v>826857.64</v>
      </c>
      <c r="C433" s="19"/>
      <c r="D433" s="229"/>
    </row>
    <row r="434" spans="1:4" ht="12.75" hidden="1">
      <c r="A434" s="2" t="s">
        <v>258</v>
      </c>
      <c r="B434" s="222">
        <v>789300.22</v>
      </c>
      <c r="C434" s="19"/>
      <c r="D434" s="229"/>
    </row>
    <row r="435" spans="1:4" ht="12.75" hidden="1">
      <c r="A435" s="2" t="s">
        <v>259</v>
      </c>
      <c r="B435" s="222">
        <v>834584.12</v>
      </c>
      <c r="C435" s="19"/>
      <c r="D435" s="229"/>
    </row>
    <row r="436" spans="1:4" ht="12.75" hidden="1">
      <c r="A436" s="2" t="s">
        <v>260</v>
      </c>
      <c r="B436" s="222">
        <v>798369.21</v>
      </c>
      <c r="C436" s="19"/>
      <c r="D436" s="229"/>
    </row>
    <row r="437" spans="1:4" ht="12.75" hidden="1">
      <c r="A437" s="2" t="s">
        <v>261</v>
      </c>
      <c r="B437" s="222">
        <v>810991.55</v>
      </c>
      <c r="C437" s="19"/>
      <c r="D437" s="229"/>
    </row>
    <row r="438" spans="1:4" ht="12.75" hidden="1">
      <c r="A438" s="2" t="s">
        <v>262</v>
      </c>
      <c r="B438" s="222">
        <v>802411.77</v>
      </c>
      <c r="C438" s="19"/>
      <c r="D438" s="229"/>
    </row>
    <row r="439" spans="1:4" ht="12.75" hidden="1">
      <c r="A439" s="2" t="s">
        <v>263</v>
      </c>
      <c r="B439" s="222">
        <v>819291.54</v>
      </c>
      <c r="C439" s="19"/>
      <c r="D439" s="229"/>
    </row>
    <row r="440" spans="1:4" ht="12.75" hidden="1">
      <c r="A440" s="2" t="s">
        <v>264</v>
      </c>
      <c r="B440" s="222">
        <v>819291.54</v>
      </c>
      <c r="C440" s="19"/>
      <c r="D440" s="229"/>
    </row>
    <row r="441" spans="1:4" ht="12.75" hidden="1">
      <c r="A441" s="2" t="s">
        <v>265</v>
      </c>
      <c r="B441" s="222" t="e">
        <f>'[1] DEUDA MUNICIPIOS NO AVALADOS'!#REF!</f>
        <v>#REF!</v>
      </c>
      <c r="C441" s="19"/>
      <c r="D441" s="229"/>
    </row>
    <row r="442" spans="1:4" ht="12.75" hidden="1">
      <c r="A442" s="2" t="s">
        <v>266</v>
      </c>
      <c r="B442" s="222" t="e">
        <f>'[1] DEUDA MUNICIPIOS NO AVALADOS'!#REF!</f>
        <v>#REF!</v>
      </c>
      <c r="C442" s="19"/>
      <c r="D442" s="229"/>
    </row>
    <row r="443" spans="1:4" ht="12.75" hidden="1">
      <c r="A443" s="2" t="s">
        <v>267</v>
      </c>
      <c r="B443" s="222" t="e">
        <f>'[1] DEUDA MUNICIPIOS NO AVALADOS'!#REF!</f>
        <v>#REF!</v>
      </c>
      <c r="C443" s="19"/>
      <c r="D443" s="229"/>
    </row>
    <row r="444" spans="1:4" ht="12.75" hidden="1">
      <c r="A444" s="2" t="s">
        <v>268</v>
      </c>
      <c r="B444" s="222" t="e">
        <f>'[1] DEUDA MUNICIPIOS NO AVALADOS'!#REF!</f>
        <v>#REF!</v>
      </c>
      <c r="C444" s="19"/>
      <c r="D444" s="229"/>
    </row>
    <row r="445" spans="1:4" ht="12.75" hidden="1">
      <c r="A445" s="2"/>
      <c r="B445" s="222"/>
      <c r="C445" s="19"/>
      <c r="D445" s="229"/>
    </row>
    <row r="446" spans="1:8" ht="14.25">
      <c r="A446" s="18" t="s">
        <v>174</v>
      </c>
      <c r="B446" s="222">
        <f>SUM(' DEUDA MUNICIPIOS NO AVALADOS'!E135:E140)*12</f>
        <v>71880392.03999999</v>
      </c>
      <c r="C446" s="232">
        <v>1092827791</v>
      </c>
      <c r="D446" s="229">
        <f>B446/C446</f>
        <v>0.06577467431920386</v>
      </c>
      <c r="H446" s="23"/>
    </row>
    <row r="447" spans="1:4" ht="12.75" hidden="1">
      <c r="A447" s="2" t="s">
        <v>257</v>
      </c>
      <c r="B447" s="222">
        <f>4135155.83+404404.59</f>
        <v>4539560.42</v>
      </c>
      <c r="C447" s="19"/>
      <c r="D447" s="229"/>
    </row>
    <row r="448" spans="1:4" ht="12.75" hidden="1">
      <c r="A448" s="2" t="s">
        <v>258</v>
      </c>
      <c r="B448" s="222">
        <f>3998772.05+398268.67</f>
        <v>4397040.72</v>
      </c>
      <c r="C448" s="19"/>
      <c r="D448" s="229"/>
    </row>
    <row r="449" spans="1:4" ht="12.75" hidden="1">
      <c r="A449" s="2" t="s">
        <v>259</v>
      </c>
      <c r="B449" s="222">
        <f>4164718.04+419193.05</f>
        <v>4583911.09</v>
      </c>
      <c r="C449" s="19"/>
      <c r="D449" s="229"/>
    </row>
    <row r="450" spans="1:4" ht="12.75" hidden="1">
      <c r="A450" s="2" t="s">
        <v>260</v>
      </c>
      <c r="B450" s="222">
        <f>4059799.26+385531.67</f>
        <v>4445330.93</v>
      </c>
      <c r="C450" s="19"/>
      <c r="D450" s="229"/>
    </row>
    <row r="451" spans="1:4" ht="12.75" hidden="1">
      <c r="A451" s="2" t="s">
        <v>261</v>
      </c>
      <c r="B451" s="222">
        <f>4114550.78+392672.87</f>
        <v>4507223.649999999</v>
      </c>
      <c r="C451" s="19"/>
      <c r="D451" s="229"/>
    </row>
    <row r="452" spans="1:4" ht="12.75" hidden="1">
      <c r="A452" s="2" t="s">
        <v>262</v>
      </c>
      <c r="B452" s="222">
        <f>4056899.9+405639.85</f>
        <v>4462539.75</v>
      </c>
      <c r="C452" s="19"/>
      <c r="D452" s="229"/>
    </row>
    <row r="453" spans="1:4" ht="12.75" hidden="1">
      <c r="A453" s="2" t="s">
        <v>263</v>
      </c>
      <c r="B453" s="222">
        <f>4056899.9+405639.85</f>
        <v>4462539.75</v>
      </c>
      <c r="C453" s="19"/>
      <c r="D453" s="229"/>
    </row>
    <row r="454" spans="1:4" ht="12.75" hidden="1">
      <c r="A454" s="2" t="s">
        <v>264</v>
      </c>
      <c r="B454" s="222">
        <v>4035563.34</v>
      </c>
      <c r="C454" s="19"/>
      <c r="D454" s="229"/>
    </row>
    <row r="455" spans="1:4" ht="12.75" hidden="1">
      <c r="A455" s="2" t="s">
        <v>265</v>
      </c>
      <c r="B455" s="222">
        <f>'[1] DEUDA MUNICIPIOS NO AVALADOS'!$E$126+'[1] DEUDA MUNICIPIOS NO AVALADOS'!$E$127+'[1] DEUDA MUNICIPIOS NO AVALADOS'!$E$130</f>
        <v>5666150.46</v>
      </c>
      <c r="C455" s="19"/>
      <c r="D455" s="229"/>
    </row>
    <row r="456" spans="1:4" ht="12.75" hidden="1">
      <c r="A456" s="2" t="s">
        <v>266</v>
      </c>
      <c r="B456" s="222">
        <f>'[1] DEUDA MUNICIPIOS NO AVALADOS'!$E$126+'[1] DEUDA MUNICIPIOS NO AVALADOS'!$E$127+'[1] DEUDA MUNICIPIOS NO AVALADOS'!$E$130</f>
        <v>5666150.46</v>
      </c>
      <c r="C456" s="19"/>
      <c r="D456" s="229"/>
    </row>
    <row r="457" spans="1:4" ht="12.75" hidden="1">
      <c r="A457" s="2" t="s">
        <v>267</v>
      </c>
      <c r="B457" s="222">
        <f>'[1] DEUDA MUNICIPIOS NO AVALADOS'!$E$126+'[1] DEUDA MUNICIPIOS NO AVALADOS'!$E$127+'[1] DEUDA MUNICIPIOS NO AVALADOS'!$E$130</f>
        <v>5666150.46</v>
      </c>
      <c r="C457" s="19"/>
      <c r="D457" s="229"/>
    </row>
    <row r="458" spans="1:4" ht="12.75" hidden="1">
      <c r="A458" s="2" t="s">
        <v>268</v>
      </c>
      <c r="B458" s="222">
        <f>'[1] DEUDA MUNICIPIOS NO AVALADOS'!$E$126+'[1] DEUDA MUNICIPIOS NO AVALADOS'!$E$127+'[1] DEUDA MUNICIPIOS NO AVALADOS'!$E$130</f>
        <v>5666150.46</v>
      </c>
      <c r="C458" s="19"/>
      <c r="D458" s="229"/>
    </row>
    <row r="459" spans="1:4" ht="12.75" hidden="1">
      <c r="A459" s="2"/>
      <c r="B459" s="222"/>
      <c r="C459" s="19"/>
      <c r="D459" s="229"/>
    </row>
    <row r="460" spans="1:4" ht="12.75">
      <c r="A460" s="18" t="s">
        <v>176</v>
      </c>
      <c r="B460" s="222">
        <f>SUM(' DEUDA MUNICIPIOS NO AVALADOS'!E143:E144)*12</f>
        <v>879832.56</v>
      </c>
      <c r="C460" s="232">
        <v>8408262</v>
      </c>
      <c r="D460" s="229">
        <f>B460/C460</f>
        <v>0.1046390514472551</v>
      </c>
    </row>
    <row r="461" spans="1:4" ht="12.75" hidden="1">
      <c r="A461" s="2" t="s">
        <v>257</v>
      </c>
      <c r="B461" s="222">
        <v>23108.86</v>
      </c>
      <c r="C461" s="19"/>
      <c r="D461" s="229" t="e">
        <f aca="true" t="shared" si="1" ref="D461:D474">B461/C461</f>
        <v>#DIV/0!</v>
      </c>
    </row>
    <row r="462" spans="1:4" ht="12.75" hidden="1">
      <c r="A462" s="2" t="s">
        <v>258</v>
      </c>
      <c r="B462" s="222">
        <v>22672.59</v>
      </c>
      <c r="C462" s="19"/>
      <c r="D462" s="229" t="e">
        <f t="shared" si="1"/>
        <v>#DIV/0!</v>
      </c>
    </row>
    <row r="463" spans="1:4" ht="12.75" hidden="1">
      <c r="A463" s="2" t="s">
        <v>259</v>
      </c>
      <c r="B463" s="222">
        <v>23485.91</v>
      </c>
      <c r="C463" s="19"/>
      <c r="D463" s="229" t="e">
        <f t="shared" si="1"/>
        <v>#DIV/0!</v>
      </c>
    </row>
    <row r="464" spans="1:4" ht="12.75" hidden="1">
      <c r="A464" s="2" t="s">
        <v>260</v>
      </c>
      <c r="B464" s="222">
        <v>22520.15</v>
      </c>
      <c r="C464" s="19"/>
      <c r="D464" s="229" t="e">
        <f t="shared" si="1"/>
        <v>#DIV/0!</v>
      </c>
    </row>
    <row r="465" spans="1:4" ht="12.75" hidden="1">
      <c r="A465" s="2" t="s">
        <v>261</v>
      </c>
      <c r="B465" s="222">
        <v>6057</v>
      </c>
      <c r="C465" s="19"/>
      <c r="D465" s="229" t="e">
        <f t="shared" si="1"/>
        <v>#DIV/0!</v>
      </c>
    </row>
    <row r="466" spans="1:4" ht="12.75" hidden="1">
      <c r="A466" s="2" t="s">
        <v>262</v>
      </c>
      <c r="B466" s="222">
        <v>21879.22</v>
      </c>
      <c r="C466" s="19"/>
      <c r="D466" s="229" t="e">
        <f t="shared" si="1"/>
        <v>#DIV/0!</v>
      </c>
    </row>
    <row r="467" spans="1:4" ht="12.75" hidden="1">
      <c r="A467" s="2" t="s">
        <v>263</v>
      </c>
      <c r="B467" s="222">
        <v>8439.93</v>
      </c>
      <c r="C467" s="19"/>
      <c r="D467" s="229" t="e">
        <f t="shared" si="1"/>
        <v>#DIV/0!</v>
      </c>
    </row>
    <row r="468" spans="1:4" ht="12.75" hidden="1">
      <c r="A468" s="2" t="s">
        <v>264</v>
      </c>
      <c r="B468" s="222">
        <v>23485.91</v>
      </c>
      <c r="C468" s="19"/>
      <c r="D468" s="229" t="e">
        <f t="shared" si="1"/>
        <v>#DIV/0!</v>
      </c>
    </row>
    <row r="469" spans="1:4" ht="12.75" hidden="1">
      <c r="A469" s="2" t="s">
        <v>265</v>
      </c>
      <c r="B469" s="222">
        <v>23485.91</v>
      </c>
      <c r="C469" s="19"/>
      <c r="D469" s="229" t="e">
        <f t="shared" si="1"/>
        <v>#DIV/0!</v>
      </c>
    </row>
    <row r="470" spans="1:4" ht="12.75" hidden="1">
      <c r="A470" s="2" t="s">
        <v>266</v>
      </c>
      <c r="B470" s="222">
        <v>23485.91</v>
      </c>
      <c r="C470" s="20"/>
      <c r="D470" s="229" t="e">
        <f t="shared" si="1"/>
        <v>#DIV/0!</v>
      </c>
    </row>
    <row r="471" spans="1:4" ht="12.75" hidden="1">
      <c r="A471" s="2" t="s">
        <v>267</v>
      </c>
      <c r="B471" s="222">
        <v>23485.91</v>
      </c>
      <c r="C471" s="19"/>
      <c r="D471" s="229" t="e">
        <f t="shared" si="1"/>
        <v>#DIV/0!</v>
      </c>
    </row>
    <row r="472" spans="1:4" ht="13.5" customHeight="1" hidden="1">
      <c r="A472" s="2" t="s">
        <v>268</v>
      </c>
      <c r="B472" s="222">
        <v>23485.91</v>
      </c>
      <c r="C472" s="19"/>
      <c r="D472" s="229" t="e">
        <f t="shared" si="1"/>
        <v>#DIV/0!</v>
      </c>
    </row>
    <row r="473" spans="1:4" ht="13.5" customHeight="1" hidden="1">
      <c r="A473" s="2"/>
      <c r="B473" s="222"/>
      <c r="C473" s="19"/>
      <c r="D473" s="229" t="e">
        <f t="shared" si="1"/>
        <v>#DIV/0!</v>
      </c>
    </row>
    <row r="474" spans="1:4" ht="13.5" customHeight="1">
      <c r="A474" s="18" t="s">
        <v>365</v>
      </c>
      <c r="B474" s="222">
        <f>' DEUDA MUNICIPIOS NO AVALADOS'!E147*12</f>
        <v>743003.64</v>
      </c>
      <c r="C474" s="232">
        <v>16149016</v>
      </c>
      <c r="D474" s="229">
        <f t="shared" si="1"/>
        <v>0.046009220623720974</v>
      </c>
    </row>
    <row r="475" spans="1:5" ht="12.75">
      <c r="A475" s="18" t="s">
        <v>179</v>
      </c>
      <c r="B475" s="222">
        <f>' DEUDA MUNICIPIOS NO AVALADOS'!E150*12</f>
        <v>500224.80000000005</v>
      </c>
      <c r="C475" s="232">
        <v>7583569</v>
      </c>
      <c r="D475" s="229">
        <f>B475/C475</f>
        <v>0.0659616600046759</v>
      </c>
      <c r="E475" s="13"/>
    </row>
    <row r="476" spans="1:4" ht="12.75" hidden="1">
      <c r="A476" s="2" t="s">
        <v>257</v>
      </c>
      <c r="B476" s="222">
        <v>45302.61</v>
      </c>
      <c r="C476" s="20"/>
      <c r="D476" s="229"/>
    </row>
    <row r="477" spans="1:4" ht="12.75" hidden="1">
      <c r="A477" s="2" t="s">
        <v>258</v>
      </c>
      <c r="B477" s="222">
        <v>45802.63</v>
      </c>
      <c r="C477" s="20"/>
      <c r="D477" s="229"/>
    </row>
    <row r="478" spans="1:4" ht="12.75" hidden="1">
      <c r="A478" s="2" t="s">
        <v>259</v>
      </c>
      <c r="B478" s="222">
        <v>43672.94</v>
      </c>
      <c r="C478" s="20"/>
      <c r="D478" s="229"/>
    </row>
    <row r="479" spans="1:4" ht="12.75" hidden="1">
      <c r="A479" s="2" t="s">
        <v>260</v>
      </c>
      <c r="B479" s="222">
        <v>44165.34</v>
      </c>
      <c r="C479" s="20"/>
      <c r="D479" s="229"/>
    </row>
    <row r="480" spans="1:4" ht="12.75" hidden="1">
      <c r="A480" s="2" t="s">
        <v>261</v>
      </c>
      <c r="B480" s="222">
        <v>7587.5</v>
      </c>
      <c r="C480" s="20"/>
      <c r="D480" s="229"/>
    </row>
    <row r="481" spans="1:4" ht="12.75" hidden="1">
      <c r="A481" s="2" t="s">
        <v>262</v>
      </c>
      <c r="B481" s="222">
        <v>43026.49</v>
      </c>
      <c r="C481" s="20"/>
      <c r="D481" s="229"/>
    </row>
    <row r="482" spans="1:4" ht="12.75" hidden="1">
      <c r="A482" s="2" t="s">
        <v>263</v>
      </c>
      <c r="B482" s="222">
        <v>16597.5</v>
      </c>
      <c r="C482" s="20"/>
      <c r="D482" s="229"/>
    </row>
    <row r="483" spans="1:4" ht="12.75" hidden="1">
      <c r="A483" s="2" t="s">
        <v>264</v>
      </c>
      <c r="B483" s="222">
        <v>43480.770000000004</v>
      </c>
      <c r="C483" s="20"/>
      <c r="D483" s="229"/>
    </row>
    <row r="484" spans="1:4" ht="12.75" hidden="1">
      <c r="A484" s="2" t="s">
        <v>265</v>
      </c>
      <c r="B484" s="222">
        <f>'[1] DEUDA MUNICIPIOS NO AVALADOS'!$E$140</f>
        <v>12042.7</v>
      </c>
      <c r="C484" s="20"/>
      <c r="D484" s="229"/>
    </row>
    <row r="485" spans="1:4" ht="12.75" hidden="1">
      <c r="A485" s="2" t="s">
        <v>266</v>
      </c>
      <c r="B485" s="222">
        <f>'[1] DEUDA MUNICIPIOS NO AVALADOS'!$E$140</f>
        <v>12042.7</v>
      </c>
      <c r="C485" s="20"/>
      <c r="D485" s="229"/>
    </row>
    <row r="486" spans="1:4" ht="12.75" hidden="1">
      <c r="A486" s="2" t="s">
        <v>267</v>
      </c>
      <c r="B486" s="222">
        <f>'[1] DEUDA MUNICIPIOS NO AVALADOS'!$E$140</f>
        <v>12042.7</v>
      </c>
      <c r="C486" s="20"/>
      <c r="D486" s="229"/>
    </row>
    <row r="487" spans="1:4" ht="12.75" hidden="1">
      <c r="A487" s="2" t="s">
        <v>268</v>
      </c>
      <c r="B487" s="222">
        <f>'[1] DEUDA MUNICIPIOS NO AVALADOS'!$E$140</f>
        <v>12042.7</v>
      </c>
      <c r="C487" s="20"/>
      <c r="D487" s="229"/>
    </row>
    <row r="488" spans="1:4" ht="12.75" hidden="1">
      <c r="A488" s="2"/>
      <c r="B488" s="222"/>
      <c r="C488" s="20"/>
      <c r="D488" s="229"/>
    </row>
    <row r="489" spans="1:4" ht="12.75">
      <c r="A489" s="18" t="s">
        <v>90</v>
      </c>
      <c r="B489" s="222">
        <f>SUM(B490:B501)</f>
        <v>764517.7375310902</v>
      </c>
      <c r="C489" s="232">
        <v>467974898</v>
      </c>
      <c r="D489" s="229">
        <f>B489/C489</f>
        <v>0.0016336725341432527</v>
      </c>
    </row>
    <row r="490" spans="1:4" ht="12.75" hidden="1">
      <c r="A490" s="2" t="s">
        <v>257</v>
      </c>
      <c r="B490" s="222">
        <v>62139.02</v>
      </c>
      <c r="C490" s="20"/>
      <c r="D490" s="229"/>
    </row>
    <row r="491" spans="1:4" ht="12.75" hidden="1">
      <c r="A491" s="2" t="s">
        <v>258</v>
      </c>
      <c r="B491" s="222">
        <v>61756.06</v>
      </c>
      <c r="C491" s="20"/>
      <c r="D491" s="229"/>
    </row>
    <row r="492" spans="1:4" ht="12.75" hidden="1">
      <c r="A492" s="2" t="s">
        <v>259</v>
      </c>
      <c r="B492" s="222">
        <v>61955.99</v>
      </c>
      <c r="C492" s="20"/>
      <c r="D492" s="229"/>
    </row>
    <row r="493" spans="1:4" ht="12.75" hidden="1">
      <c r="A493" s="2" t="s">
        <v>260</v>
      </c>
      <c r="B493" s="222">
        <v>61950.85</v>
      </c>
      <c r="C493" s="20"/>
      <c r="D493" s="229"/>
    </row>
    <row r="494" spans="1:4" ht="12.75" hidden="1">
      <c r="A494" s="2" t="s">
        <v>261</v>
      </c>
      <c r="B494" s="222">
        <v>62664.21</v>
      </c>
      <c r="C494" s="20"/>
      <c r="D494" s="229"/>
    </row>
    <row r="495" spans="1:4" ht="12.75" hidden="1">
      <c r="A495" s="2" t="s">
        <v>262</v>
      </c>
      <c r="B495" s="222">
        <v>62505.04</v>
      </c>
      <c r="C495" s="20"/>
      <c r="D495" s="229"/>
    </row>
    <row r="496" spans="1:4" ht="12.75" hidden="1">
      <c r="A496" s="2" t="s">
        <v>263</v>
      </c>
      <c r="B496" s="222">
        <v>62841.26</v>
      </c>
      <c r="C496" s="20"/>
      <c r="D496" s="229"/>
    </row>
    <row r="497" spans="1:4" ht="12.75" hidden="1">
      <c r="A497" s="2" t="s">
        <v>264</v>
      </c>
      <c r="B497" s="222">
        <v>62613.930651970004</v>
      </c>
      <c r="C497" s="20"/>
      <c r="D497" s="229"/>
    </row>
    <row r="498" spans="1:4" ht="12.75" hidden="1">
      <c r="A498" s="2" t="s">
        <v>265</v>
      </c>
      <c r="B498" s="222">
        <f>'[1]DEUDA MUNICIPIOS AVALadOS'!$E$64+'[1]DEUDA MUNICIPIOS AVALadOS'!$E$65</f>
        <v>66522.84421978</v>
      </c>
      <c r="C498" s="20"/>
      <c r="D498" s="229"/>
    </row>
    <row r="499" spans="1:4" ht="12.75" hidden="1">
      <c r="A499" s="2" t="s">
        <v>266</v>
      </c>
      <c r="B499" s="222">
        <f>'[1]DEUDA MUNICIPIOS AVALadOS'!$E$64+'[1]DEUDA MUNICIPIOS AVALadOS'!$E$65</f>
        <v>66522.84421978</v>
      </c>
      <c r="C499" s="20"/>
      <c r="D499" s="229"/>
    </row>
    <row r="500" spans="1:4" ht="12.75" hidden="1">
      <c r="A500" s="2" t="s">
        <v>267</v>
      </c>
      <c r="B500" s="222">
        <f>'[1]DEUDA MUNICIPIOS AVALadOS'!$E$64+'[1]DEUDA MUNICIPIOS AVALadOS'!$E$65</f>
        <v>66522.84421978</v>
      </c>
      <c r="C500" s="20"/>
      <c r="D500" s="229"/>
    </row>
    <row r="501" spans="1:4" ht="12.75" hidden="1">
      <c r="A501" s="2" t="s">
        <v>268</v>
      </c>
      <c r="B501" s="222">
        <f>'[1]DEUDA MUNICIPIOS AVALadOS'!$E$64+'[1]DEUDA MUNICIPIOS AVALadOS'!$E$65</f>
        <v>66522.84421978</v>
      </c>
      <c r="C501" s="20"/>
      <c r="D501" s="229"/>
    </row>
    <row r="502" spans="1:4" ht="12.75" hidden="1">
      <c r="A502" s="2"/>
      <c r="B502" s="222"/>
      <c r="C502" s="20"/>
      <c r="D502" s="229"/>
    </row>
    <row r="503" spans="1:4" ht="12.75">
      <c r="A503" s="18" t="s">
        <v>182</v>
      </c>
      <c r="B503" s="222">
        <f>' DEUDA MUNICIPIOS NO AVALADOS'!B158*12</f>
        <v>319444.44</v>
      </c>
      <c r="C503" s="232">
        <v>10989003</v>
      </c>
      <c r="D503" s="229">
        <f>B503/C503</f>
        <v>0.02906946517350118</v>
      </c>
    </row>
    <row r="504" spans="1:4" ht="12.75" hidden="1">
      <c r="A504" s="2" t="s">
        <v>257</v>
      </c>
      <c r="B504" s="222">
        <v>46180.33</v>
      </c>
      <c r="C504" s="20"/>
      <c r="D504" s="229"/>
    </row>
    <row r="505" spans="1:4" ht="12.75" hidden="1">
      <c r="A505" s="2" t="s">
        <v>258</v>
      </c>
      <c r="B505" s="222">
        <v>47836.77</v>
      </c>
      <c r="C505" s="20"/>
      <c r="D505" s="229"/>
    </row>
    <row r="506" spans="1:4" ht="12.75" hidden="1">
      <c r="A506" s="2" t="s">
        <v>259</v>
      </c>
      <c r="B506" s="222">
        <v>44560.28</v>
      </c>
      <c r="C506" s="20"/>
      <c r="D506" s="229"/>
    </row>
    <row r="507" spans="1:4" ht="12.75" hidden="1">
      <c r="A507" s="2" t="s">
        <v>260</v>
      </c>
      <c r="B507" s="222">
        <v>27996.73</v>
      </c>
      <c r="C507" s="20"/>
      <c r="D507" s="229"/>
    </row>
    <row r="508" spans="1:4" ht="12.75" hidden="1">
      <c r="A508" s="2" t="s">
        <v>261</v>
      </c>
      <c r="B508" s="222">
        <v>34153.18</v>
      </c>
      <c r="C508" s="20"/>
      <c r="D508" s="229"/>
    </row>
    <row r="509" spans="1:4" ht="12.75" hidden="1">
      <c r="A509" s="2" t="s">
        <v>262</v>
      </c>
      <c r="B509" s="222">
        <v>15981.57</v>
      </c>
      <c r="C509" s="20"/>
      <c r="D509" s="229"/>
    </row>
    <row r="510" spans="1:4" ht="12.75" hidden="1">
      <c r="A510" s="2" t="s">
        <v>263</v>
      </c>
      <c r="B510" s="222">
        <v>42559.71</v>
      </c>
      <c r="C510" s="20"/>
      <c r="D510" s="229"/>
    </row>
    <row r="511" spans="1:4" ht="12.75" hidden="1">
      <c r="A511" s="2" t="s">
        <v>264</v>
      </c>
      <c r="B511" s="222">
        <v>16429.1</v>
      </c>
      <c r="C511" s="20"/>
      <c r="D511" s="229"/>
    </row>
    <row r="512" spans="1:4" ht="12.75" hidden="1">
      <c r="A512" s="2" t="s">
        <v>265</v>
      </c>
      <c r="B512" s="222">
        <f>'[1] DEUDA MUNICIPIOS NO AVALADOS'!$E$150</f>
        <v>38571.03</v>
      </c>
      <c r="C512" s="20"/>
      <c r="D512" s="229"/>
    </row>
    <row r="513" spans="1:4" ht="12.75" hidden="1">
      <c r="A513" s="2" t="s">
        <v>266</v>
      </c>
      <c r="B513" s="222">
        <f>'[1] DEUDA MUNICIPIOS NO AVALADOS'!$E$150</f>
        <v>38571.03</v>
      </c>
      <c r="C513" s="20"/>
      <c r="D513" s="229"/>
    </row>
    <row r="514" spans="1:4" ht="12.75" hidden="1">
      <c r="A514" s="2" t="s">
        <v>267</v>
      </c>
      <c r="B514" s="222">
        <f>'[1] DEUDA MUNICIPIOS NO AVALADOS'!$E$150</f>
        <v>38571.03</v>
      </c>
      <c r="C514" s="19"/>
      <c r="D514" s="229"/>
    </row>
    <row r="515" spans="1:4" ht="12.75" hidden="1">
      <c r="A515" s="2" t="s">
        <v>268</v>
      </c>
      <c r="B515" s="222">
        <f>'[1] DEUDA MUNICIPIOS NO AVALADOS'!$E$150</f>
        <v>38571.03</v>
      </c>
      <c r="C515" s="19"/>
      <c r="D515" s="229"/>
    </row>
    <row r="516" spans="1:4" ht="12.75" hidden="1">
      <c r="A516" s="2"/>
      <c r="B516" s="222"/>
      <c r="C516" s="19"/>
      <c r="D516" s="229"/>
    </row>
    <row r="517" spans="1:5" ht="12.75" hidden="1">
      <c r="A517" s="2" t="s">
        <v>257</v>
      </c>
      <c r="B517" s="223">
        <v>3966.18</v>
      </c>
      <c r="C517" s="19"/>
      <c r="D517" s="229"/>
      <c r="E517" s="3"/>
    </row>
    <row r="518" spans="1:5" ht="12.75" hidden="1">
      <c r="A518" s="2" t="s">
        <v>258</v>
      </c>
      <c r="B518" s="223">
        <v>3987.35</v>
      </c>
      <c r="C518" s="19"/>
      <c r="D518" s="229"/>
      <c r="E518" s="3"/>
    </row>
    <row r="519" spans="1:5" ht="12.75" hidden="1">
      <c r="A519" s="2" t="s">
        <v>259</v>
      </c>
      <c r="B519" s="223">
        <v>3920.51</v>
      </c>
      <c r="C519" s="19"/>
      <c r="D519" s="229"/>
      <c r="E519" s="3"/>
    </row>
    <row r="520" spans="1:5" ht="12.75" hidden="1">
      <c r="A520" s="2" t="s">
        <v>260</v>
      </c>
      <c r="B520" s="223">
        <v>4033.06</v>
      </c>
      <c r="C520" s="19"/>
      <c r="D520" s="229"/>
      <c r="E520" s="3"/>
    </row>
    <row r="521" spans="1:5" ht="12.75" hidden="1">
      <c r="A521" s="2" t="s">
        <v>261</v>
      </c>
      <c r="B521" s="223">
        <v>4003.5</v>
      </c>
      <c r="C521" s="19"/>
      <c r="D521" s="229"/>
      <c r="E521" s="3"/>
    </row>
    <row r="522" spans="1:5" ht="12.75" hidden="1">
      <c r="A522" s="2" t="s">
        <v>262</v>
      </c>
      <c r="B522" s="223">
        <v>4014.77</v>
      </c>
      <c r="C522" s="19"/>
      <c r="D522" s="229"/>
      <c r="E522" s="3"/>
    </row>
    <row r="523" spans="1:5" ht="12.75" hidden="1">
      <c r="A523" s="2" t="s">
        <v>263</v>
      </c>
      <c r="B523" s="223">
        <v>3986.66</v>
      </c>
      <c r="C523" s="19"/>
      <c r="D523" s="229"/>
      <c r="E523" s="3"/>
    </row>
    <row r="524" spans="1:5" ht="12.75" hidden="1">
      <c r="A524" s="2" t="s">
        <v>264</v>
      </c>
      <c r="B524" s="223">
        <v>4008.593076320001</v>
      </c>
      <c r="C524" s="19"/>
      <c r="D524" s="229"/>
      <c r="E524" s="3"/>
    </row>
    <row r="525" spans="1:5" ht="12.75" hidden="1">
      <c r="A525" s="2" t="s">
        <v>265</v>
      </c>
      <c r="B525" s="223">
        <f>'[1]DEUDA MUNICIPIOS AVALadOS'!$E$69</f>
        <v>4270.38</v>
      </c>
      <c r="C525" s="19"/>
      <c r="D525" s="229"/>
      <c r="E525" s="3"/>
    </row>
    <row r="526" spans="1:5" ht="12.75" hidden="1">
      <c r="A526" s="2" t="s">
        <v>266</v>
      </c>
      <c r="B526" s="223">
        <f>'[1]DEUDA MUNICIPIOS AVALadOS'!$E$69</f>
        <v>4270.38</v>
      </c>
      <c r="C526" s="19"/>
      <c r="D526" s="229"/>
      <c r="E526" s="3"/>
    </row>
    <row r="527" spans="1:5" ht="12.75" hidden="1">
      <c r="A527" s="2" t="s">
        <v>267</v>
      </c>
      <c r="B527" s="223">
        <f>'[1]DEUDA MUNICIPIOS AVALadOS'!$E$69</f>
        <v>4270.38</v>
      </c>
      <c r="C527" s="19"/>
      <c r="D527" s="229"/>
      <c r="E527" s="3"/>
    </row>
    <row r="528" spans="1:5" ht="12.75" hidden="1">
      <c r="A528" s="2" t="s">
        <v>268</v>
      </c>
      <c r="B528" s="223">
        <f>'[1]DEUDA MUNICIPIOS AVALadOS'!$E$69</f>
        <v>4270.38</v>
      </c>
      <c r="C528" s="19"/>
      <c r="D528" s="229"/>
      <c r="E528" s="3"/>
    </row>
    <row r="529" spans="1:5" ht="12.75">
      <c r="A529" s="18" t="s">
        <v>270</v>
      </c>
      <c r="B529" s="223">
        <f>SUM(' DEUDA MUNICIPIOS NO AVALADOS'!E161:E165)*12</f>
        <v>25534953.360000003</v>
      </c>
      <c r="C529" s="232">
        <v>637888819</v>
      </c>
      <c r="D529" s="229">
        <f>B529/C529</f>
        <v>0.04003041376400109</v>
      </c>
      <c r="E529" s="3"/>
    </row>
    <row r="530" spans="1:5" ht="12.75" hidden="1">
      <c r="A530" s="2" t="s">
        <v>257</v>
      </c>
      <c r="B530" s="223">
        <v>946475.11</v>
      </c>
      <c r="C530" s="19"/>
      <c r="D530" s="229"/>
      <c r="E530" s="3"/>
    </row>
    <row r="531" spans="1:5" ht="12.75" hidden="1">
      <c r="A531" s="2" t="s">
        <v>258</v>
      </c>
      <c r="B531" s="223">
        <v>912541.03</v>
      </c>
      <c r="C531" s="19"/>
      <c r="D531" s="229"/>
      <c r="E531" s="3"/>
    </row>
    <row r="532" spans="1:5" ht="12.75" hidden="1">
      <c r="A532" s="2" t="s">
        <v>259</v>
      </c>
      <c r="B532" s="223">
        <v>945027.78</v>
      </c>
      <c r="C532" s="19"/>
      <c r="D532" s="229"/>
      <c r="E532" s="3"/>
    </row>
    <row r="533" spans="1:5" ht="12.75" hidden="1">
      <c r="A533" s="2" t="s">
        <v>260</v>
      </c>
      <c r="B533" s="223">
        <v>933420.65</v>
      </c>
      <c r="C533" s="19"/>
      <c r="D533" s="229"/>
      <c r="E533" s="3"/>
    </row>
    <row r="534" spans="1:5" ht="12.75" hidden="1">
      <c r="A534" s="2" t="s">
        <v>261</v>
      </c>
      <c r="B534" s="223">
        <v>943535.36</v>
      </c>
      <c r="C534" s="19"/>
      <c r="D534" s="229"/>
      <c r="E534" s="3"/>
    </row>
    <row r="535" spans="1:5" ht="12.75" hidden="1">
      <c r="A535" s="2" t="s">
        <v>262</v>
      </c>
      <c r="B535" s="223">
        <v>932112.58</v>
      </c>
      <c r="C535" s="19"/>
      <c r="D535" s="229"/>
      <c r="E535" s="3"/>
    </row>
    <row r="536" spans="1:5" ht="12.75" hidden="1">
      <c r="A536" s="2" t="s">
        <v>263</v>
      </c>
      <c r="B536" s="223">
        <v>941997.82</v>
      </c>
      <c r="C536" s="19"/>
      <c r="D536" s="229"/>
      <c r="E536" s="3"/>
    </row>
    <row r="537" spans="1:5" ht="12.75" hidden="1">
      <c r="A537" s="2" t="s">
        <v>264</v>
      </c>
      <c r="B537" s="223">
        <v>941212.14</v>
      </c>
      <c r="C537" s="19"/>
      <c r="D537" s="229"/>
      <c r="E537" s="3"/>
    </row>
    <row r="538" spans="1:5" ht="12.75" hidden="1">
      <c r="A538" s="2" t="s">
        <v>265</v>
      </c>
      <c r="B538" s="223">
        <f>'[1] DEUDA MUNICIPIOS NO AVALADOS'!$E$156+'[1] DEUDA MUNICIPIOS NO AVALADOS'!$E$157</f>
        <v>929335.15</v>
      </c>
      <c r="C538" s="19"/>
      <c r="D538" s="229"/>
      <c r="E538" s="3"/>
    </row>
    <row r="539" spans="1:5" ht="12.75" hidden="1">
      <c r="A539" s="2" t="s">
        <v>266</v>
      </c>
      <c r="B539" s="223">
        <f>'[1] DEUDA MUNICIPIOS NO AVALADOS'!$E$156+'[1] DEUDA MUNICIPIOS NO AVALADOS'!$E$157</f>
        <v>929335.15</v>
      </c>
      <c r="C539" s="19"/>
      <c r="D539" s="229"/>
      <c r="E539" s="3"/>
    </row>
    <row r="540" spans="1:5" ht="12.75" hidden="1">
      <c r="A540" s="2" t="s">
        <v>267</v>
      </c>
      <c r="B540" s="223">
        <f>'[1] DEUDA MUNICIPIOS NO AVALADOS'!$E$156+'[1] DEUDA MUNICIPIOS NO AVALADOS'!$E$157</f>
        <v>929335.15</v>
      </c>
      <c r="C540" s="19"/>
      <c r="D540" s="229"/>
      <c r="E540" s="3"/>
    </row>
    <row r="541" spans="1:5" ht="12.75" hidden="1">
      <c r="A541" s="2" t="s">
        <v>268</v>
      </c>
      <c r="B541" s="223">
        <f>'[1] DEUDA MUNICIPIOS NO AVALADOS'!$E$156+'[1] DEUDA MUNICIPIOS NO AVALADOS'!$E$157</f>
        <v>929335.15</v>
      </c>
      <c r="C541" s="19"/>
      <c r="D541" s="229"/>
      <c r="E541" s="3"/>
    </row>
    <row r="542" spans="1:5" ht="12.75">
      <c r="A542" s="18" t="s">
        <v>271</v>
      </c>
      <c r="B542" s="223">
        <f>' DEUDA MUNICIPIOS NO AVALADOS'!E171*12</f>
        <v>5450099.4</v>
      </c>
      <c r="C542" s="232">
        <v>49516853</v>
      </c>
      <c r="D542" s="229">
        <f>B542/C542</f>
        <v>0.11006554475503523</v>
      </c>
      <c r="E542" s="3"/>
    </row>
    <row r="543" spans="1:5" ht="12.75" hidden="1">
      <c r="A543" s="2" t="s">
        <v>257</v>
      </c>
      <c r="B543" s="223">
        <v>37553.6</v>
      </c>
      <c r="C543" s="19"/>
      <c r="D543" s="229"/>
      <c r="E543" s="3"/>
    </row>
    <row r="544" spans="1:5" ht="12.75" hidden="1">
      <c r="A544" s="2" t="s">
        <v>258</v>
      </c>
      <c r="B544" s="223">
        <v>37553.6</v>
      </c>
      <c r="C544" s="19"/>
      <c r="D544" s="229"/>
      <c r="E544" s="3"/>
    </row>
    <row r="545" spans="1:5" ht="12.75" hidden="1">
      <c r="A545" s="2" t="s">
        <v>259</v>
      </c>
      <c r="B545" s="223">
        <v>37553.6</v>
      </c>
      <c r="C545" s="19"/>
      <c r="D545" s="229"/>
      <c r="E545" s="3"/>
    </row>
    <row r="546" spans="1:5" ht="12.75" hidden="1">
      <c r="A546" s="2" t="s">
        <v>260</v>
      </c>
      <c r="B546" s="223">
        <v>32621.81</v>
      </c>
      <c r="C546" s="19"/>
      <c r="D546" s="229"/>
      <c r="E546" s="3"/>
    </row>
    <row r="547" spans="1:5" ht="12.75" hidden="1">
      <c r="A547" s="2" t="s">
        <v>261</v>
      </c>
      <c r="B547" s="223">
        <v>34791.61</v>
      </c>
      <c r="C547" s="19"/>
      <c r="D547" s="229"/>
      <c r="E547" s="3"/>
    </row>
    <row r="548" spans="1:5" ht="12.75" hidden="1">
      <c r="A548" s="2" t="s">
        <v>262</v>
      </c>
      <c r="B548" s="223">
        <v>34712.56</v>
      </c>
      <c r="C548" s="19"/>
      <c r="D548" s="229"/>
      <c r="E548" s="3"/>
    </row>
    <row r="549" spans="1:5" ht="12.75" hidden="1">
      <c r="A549" s="2" t="s">
        <v>263</v>
      </c>
      <c r="B549" s="223">
        <v>33624.3</v>
      </c>
      <c r="C549" s="19"/>
      <c r="D549" s="229"/>
      <c r="E549" s="3"/>
    </row>
    <row r="550" spans="1:4" ht="12.75" hidden="1">
      <c r="A550" s="2" t="s">
        <v>264</v>
      </c>
      <c r="B550" s="223">
        <v>254353.5</v>
      </c>
      <c r="C550" s="19"/>
      <c r="D550" s="229"/>
    </row>
    <row r="551" spans="1:4" ht="12.75" hidden="1">
      <c r="A551" s="2" t="s">
        <v>265</v>
      </c>
      <c r="B551" s="223" t="e">
        <f>'[1] DEUDA MUNICIPIOS NO AVALADOS'!#REF!</f>
        <v>#REF!</v>
      </c>
      <c r="C551" s="20"/>
      <c r="D551" s="229"/>
    </row>
    <row r="552" spans="1:4" ht="12.75" hidden="1">
      <c r="A552" s="2" t="s">
        <v>266</v>
      </c>
      <c r="B552" s="223" t="e">
        <f>'[1] DEUDA MUNICIPIOS NO AVALADOS'!#REF!</f>
        <v>#REF!</v>
      </c>
      <c r="C552" s="19"/>
      <c r="D552" s="229"/>
    </row>
    <row r="553" spans="1:4" ht="12.75" hidden="1">
      <c r="A553" s="2" t="s">
        <v>267</v>
      </c>
      <c r="B553" s="223" t="e">
        <f>'[1] DEUDA MUNICIPIOS NO AVALADOS'!#REF!</f>
        <v>#REF!</v>
      </c>
      <c r="C553" s="19"/>
      <c r="D553" s="229"/>
    </row>
    <row r="554" spans="1:4" ht="12.75" hidden="1">
      <c r="A554" s="2" t="s">
        <v>268</v>
      </c>
      <c r="B554" s="223" t="e">
        <f>'[1] DEUDA MUNICIPIOS NO AVALADOS'!#REF!</f>
        <v>#REF!</v>
      </c>
      <c r="C554" s="19"/>
      <c r="D554" s="230"/>
    </row>
    <row r="555" spans="1:4" ht="12.75" hidden="1">
      <c r="A555" s="2"/>
      <c r="B555" s="223"/>
      <c r="C555" s="19"/>
      <c r="D555" s="230"/>
    </row>
    <row r="556" spans="1:4" ht="12.75">
      <c r="A556" s="18" t="s">
        <v>91</v>
      </c>
      <c r="B556" s="222">
        <f>SUM(' DEUDA MUNICIPIOS NO AVALADOS'!E177:E179)*12</f>
        <v>1023539.28</v>
      </c>
      <c r="C556" s="232">
        <v>30299125</v>
      </c>
      <c r="D556" s="229">
        <f>B556/C556</f>
        <v>0.03378114978567863</v>
      </c>
    </row>
    <row r="557" spans="1:4" ht="12.75" hidden="1">
      <c r="A557" s="2" t="s">
        <v>257</v>
      </c>
      <c r="B557" s="222">
        <f>47579.61+4827.88</f>
        <v>52407.49</v>
      </c>
      <c r="C557" s="19"/>
      <c r="D557" s="229" t="e">
        <f aca="true" t="shared" si="2" ref="D557:D570">B557/C557</f>
        <v>#DIV/0!</v>
      </c>
    </row>
    <row r="558" spans="1:4" ht="12.75" hidden="1">
      <c r="A558" s="2" t="s">
        <v>258</v>
      </c>
      <c r="B558" s="222">
        <f>47417.01+4853.68</f>
        <v>52270.69</v>
      </c>
      <c r="C558" s="19"/>
      <c r="D558" s="229" t="e">
        <f t="shared" si="2"/>
        <v>#DIV/0!</v>
      </c>
    </row>
    <row r="559" spans="1:4" ht="12.75" hidden="1">
      <c r="A559" s="2" t="s">
        <v>259</v>
      </c>
      <c r="B559" s="222">
        <f>46809.35+4772.3</f>
        <v>51581.65</v>
      </c>
      <c r="C559" s="19"/>
      <c r="D559" s="229" t="e">
        <f t="shared" si="2"/>
        <v>#DIV/0!</v>
      </c>
    </row>
    <row r="560" spans="1:4" ht="12.75" hidden="1">
      <c r="A560" s="2" t="s">
        <v>260</v>
      </c>
      <c r="B560" s="222">
        <f>46117.37+4909.32</f>
        <v>51026.69</v>
      </c>
      <c r="C560" s="19"/>
      <c r="D560" s="229" t="e">
        <f t="shared" si="2"/>
        <v>#DIV/0!</v>
      </c>
    </row>
    <row r="561" spans="1:4" ht="12.75" hidden="1">
      <c r="A561" s="2" t="s">
        <v>261</v>
      </c>
      <c r="B561" s="222">
        <f>45020.23+4873.39</f>
        <v>49893.62</v>
      </c>
      <c r="C561" s="19"/>
      <c r="D561" s="229" t="e">
        <f t="shared" si="2"/>
        <v>#DIV/0!</v>
      </c>
    </row>
    <row r="562" spans="1:4" ht="12.75" hidden="1">
      <c r="A562" s="2" t="s">
        <v>262</v>
      </c>
      <c r="B562" s="222">
        <f>46060.42+4887.11</f>
        <v>50947.53</v>
      </c>
      <c r="C562" s="19"/>
      <c r="D562" s="229" t="e">
        <f t="shared" si="2"/>
        <v>#DIV/0!</v>
      </c>
    </row>
    <row r="563" spans="1:4" ht="12.75" hidden="1">
      <c r="A563" s="2" t="s">
        <v>263</v>
      </c>
      <c r="B563" s="222">
        <f>44723.1+4852.88</f>
        <v>49575.979999999996</v>
      </c>
      <c r="C563" s="19"/>
      <c r="D563" s="229" t="e">
        <f t="shared" si="2"/>
        <v>#DIV/0!</v>
      </c>
    </row>
    <row r="564" spans="1:4" ht="12.75" hidden="1">
      <c r="A564" s="2" t="s">
        <v>264</v>
      </c>
      <c r="B564" s="222">
        <v>46374.15886788</v>
      </c>
      <c r="C564" s="19"/>
      <c r="D564" s="229" t="e">
        <f t="shared" si="2"/>
        <v>#DIV/0!</v>
      </c>
    </row>
    <row r="565" spans="1:4" ht="12.75" hidden="1">
      <c r="A565" s="2" t="s">
        <v>265</v>
      </c>
      <c r="B565" s="222">
        <f>'[1]DEUDA MUNICIPIOS AVALadOS'!$E$73+'[1] DEUDA MUNICIPIOS NO AVALADOS'!$E$166+'[1] DEUDA MUNICIPIOS NO AVALADOS'!$E$167</f>
        <v>17274.34</v>
      </c>
      <c r="C565" s="19"/>
      <c r="D565" s="229" t="e">
        <f t="shared" si="2"/>
        <v>#DIV/0!</v>
      </c>
    </row>
    <row r="566" spans="1:4" ht="12.75" hidden="1">
      <c r="A566" s="2" t="s">
        <v>266</v>
      </c>
      <c r="B566" s="222">
        <f>'[1]DEUDA MUNICIPIOS AVALadOS'!$E$73+'[1] DEUDA MUNICIPIOS NO AVALADOS'!$E$166+'[1] DEUDA MUNICIPIOS NO AVALADOS'!$E$167</f>
        <v>17274.34</v>
      </c>
      <c r="C566" s="19"/>
      <c r="D566" s="229" t="e">
        <f t="shared" si="2"/>
        <v>#DIV/0!</v>
      </c>
    </row>
    <row r="567" spans="1:4" ht="12.75" hidden="1">
      <c r="A567" s="2" t="s">
        <v>267</v>
      </c>
      <c r="B567" s="222">
        <f>'[1]DEUDA MUNICIPIOS AVALadOS'!$E$73+'[1] DEUDA MUNICIPIOS NO AVALADOS'!$E$166+'[1] DEUDA MUNICIPIOS NO AVALADOS'!$E$167</f>
        <v>17274.34</v>
      </c>
      <c r="C567" s="19"/>
      <c r="D567" s="229" t="e">
        <f t="shared" si="2"/>
        <v>#DIV/0!</v>
      </c>
    </row>
    <row r="568" spans="1:4" ht="12.75" hidden="1">
      <c r="A568" s="2" t="s">
        <v>268</v>
      </c>
      <c r="B568" s="222">
        <f>'[1]DEUDA MUNICIPIOS AVALadOS'!$E$73+'[1] DEUDA MUNICIPIOS NO AVALADOS'!$E$166+'[1] DEUDA MUNICIPIOS NO AVALADOS'!$E$167</f>
        <v>17274.34</v>
      </c>
      <c r="C568" s="19"/>
      <c r="D568" s="229" t="e">
        <f t="shared" si="2"/>
        <v>#DIV/0!</v>
      </c>
    </row>
    <row r="569" spans="1:4" ht="12.75" hidden="1">
      <c r="A569" s="2"/>
      <c r="B569" s="222"/>
      <c r="C569" s="19"/>
      <c r="D569" s="229" t="e">
        <f t="shared" si="2"/>
        <v>#DIV/0!</v>
      </c>
    </row>
    <row r="570" spans="1:4" ht="14.25">
      <c r="A570" s="18" t="s">
        <v>366</v>
      </c>
      <c r="B570" s="222">
        <f>' DEUDA MUNICIPIOS NO AVALADOS'!E168*12</f>
        <v>262265.88</v>
      </c>
      <c r="C570" s="232">
        <v>7719825</v>
      </c>
      <c r="D570" s="229">
        <f t="shared" si="2"/>
        <v>0.03397303436282558</v>
      </c>
    </row>
    <row r="571" spans="1:4" ht="12.75">
      <c r="A571" s="18" t="s">
        <v>92</v>
      </c>
      <c r="B571" s="222">
        <f>' DEUDA MUNICIPIOS NO AVALADOS'!E174*12</f>
        <v>540647.28</v>
      </c>
      <c r="C571" s="232">
        <v>55456944</v>
      </c>
      <c r="D571" s="229">
        <f>B571/C571</f>
        <v>0.009748955514029047</v>
      </c>
    </row>
    <row r="572" spans="1:4" ht="12.75" hidden="1">
      <c r="A572" s="2" t="s">
        <v>257</v>
      </c>
      <c r="B572" s="222">
        <f>31087.09+51918.09</f>
        <v>83005.18</v>
      </c>
      <c r="C572" s="19"/>
      <c r="D572" s="229"/>
    </row>
    <row r="573" spans="1:4" ht="12.75" hidden="1">
      <c r="A573" s="2" t="s">
        <v>258</v>
      </c>
      <c r="B573" s="222">
        <f>31253.05+51918.09</f>
        <v>83171.14</v>
      </c>
      <c r="C573" s="19"/>
      <c r="D573" s="229"/>
    </row>
    <row r="574" spans="1:4" ht="11.25" customHeight="1" hidden="1">
      <c r="A574" s="2" t="s">
        <v>259</v>
      </c>
      <c r="B574" s="222">
        <f>30729.34+49288.14</f>
        <v>80017.48</v>
      </c>
      <c r="C574" s="19"/>
      <c r="D574" s="229"/>
    </row>
    <row r="575" spans="1:4" ht="12.75" hidden="1">
      <c r="A575" s="2" t="s">
        <v>260</v>
      </c>
      <c r="B575" s="222">
        <f>31611.34+51873</f>
        <v>83484.34</v>
      </c>
      <c r="C575" s="19"/>
      <c r="D575" s="230"/>
    </row>
    <row r="576" spans="1:4" ht="12.75" hidden="1">
      <c r="A576" s="2" t="s">
        <v>261</v>
      </c>
      <c r="B576" s="222">
        <f>31379.95+47375.6</f>
        <v>78755.55</v>
      </c>
      <c r="C576" s="20"/>
      <c r="D576" s="229"/>
    </row>
    <row r="577" spans="1:4" ht="12.75" hidden="1">
      <c r="A577" s="2" t="s">
        <v>262</v>
      </c>
      <c r="B577" s="222">
        <f>31468.07+48778.46</f>
        <v>80246.53</v>
      </c>
      <c r="C577" s="19"/>
      <c r="D577" s="229"/>
    </row>
    <row r="578" spans="1:4" ht="12.75" hidden="1">
      <c r="A578" s="2" t="s">
        <v>263</v>
      </c>
      <c r="B578" s="222">
        <f>31247.76+49062.82</f>
        <v>80310.58</v>
      </c>
      <c r="C578" s="19"/>
      <c r="D578" s="229"/>
    </row>
    <row r="579" spans="1:4" ht="12.75" hidden="1">
      <c r="A579" s="2" t="s">
        <v>264</v>
      </c>
      <c r="B579" s="222">
        <v>79371.05791936</v>
      </c>
      <c r="C579" s="19"/>
      <c r="D579" s="230"/>
    </row>
    <row r="580" spans="1:4" ht="12.75" hidden="1">
      <c r="A580" s="2" t="s">
        <v>265</v>
      </c>
      <c r="B580" s="222">
        <f>'[1]DEUDA MUNICIPIOS AVALadOS'!$E$77+'[1] DEUDA MUNICIPIOS NO AVALADOS'!$E$163</f>
        <v>76754.72</v>
      </c>
      <c r="C580" s="20"/>
      <c r="D580" s="229"/>
    </row>
    <row r="581" spans="1:4" ht="12.75" hidden="1">
      <c r="A581" s="2" t="s">
        <v>266</v>
      </c>
      <c r="B581" s="222">
        <f>'[1]DEUDA MUNICIPIOS AVALadOS'!$E$77+'[1] DEUDA MUNICIPIOS NO AVALADOS'!$E$163</f>
        <v>76754.72</v>
      </c>
      <c r="C581" s="19"/>
      <c r="D581" s="229"/>
    </row>
    <row r="582" spans="1:4" ht="12.75" hidden="1">
      <c r="A582" s="2" t="s">
        <v>267</v>
      </c>
      <c r="B582" s="222">
        <f>'[1]DEUDA MUNICIPIOS AVALadOS'!$E$77+'[1] DEUDA MUNICIPIOS NO AVALADOS'!$E$163</f>
        <v>76754.72</v>
      </c>
      <c r="C582" s="19"/>
      <c r="D582" s="229"/>
    </row>
    <row r="583" spans="1:4" ht="12.75" hidden="1">
      <c r="A583" s="2" t="s">
        <v>268</v>
      </c>
      <c r="B583" s="222">
        <f>'[1]DEUDA MUNICIPIOS AVALadOS'!$E$77+'[1] DEUDA MUNICIPIOS NO AVALADOS'!$E$163</f>
        <v>76754.72</v>
      </c>
      <c r="C583" s="19"/>
      <c r="D583" s="230"/>
    </row>
    <row r="584" spans="1:4" ht="12.75" hidden="1">
      <c r="A584" s="2"/>
      <c r="B584" s="222"/>
      <c r="C584" s="19"/>
      <c r="D584" s="230"/>
    </row>
    <row r="585" spans="1:4" ht="12.75" hidden="1">
      <c r="A585" s="2" t="s">
        <v>257</v>
      </c>
      <c r="B585" s="222">
        <v>7458.98</v>
      </c>
      <c r="C585" s="19"/>
      <c r="D585" s="230" t="e">
        <f aca="true" t="shared" si="3" ref="D585:D598">B585/C585</f>
        <v>#DIV/0!</v>
      </c>
    </row>
    <row r="586" spans="1:4" ht="12.75" hidden="1">
      <c r="A586" s="2" t="s">
        <v>258</v>
      </c>
      <c r="B586" s="222">
        <v>7498.85</v>
      </c>
      <c r="C586" s="19"/>
      <c r="D586" s="230" t="e">
        <f t="shared" si="3"/>
        <v>#DIV/0!</v>
      </c>
    </row>
    <row r="587" spans="1:4" ht="12.75" hidden="1">
      <c r="A587" s="2" t="s">
        <v>259</v>
      </c>
      <c r="B587" s="222">
        <v>7373.18</v>
      </c>
      <c r="C587" s="19"/>
      <c r="D587" s="230" t="e">
        <f t="shared" si="3"/>
        <v>#DIV/0!</v>
      </c>
    </row>
    <row r="588" spans="1:4" ht="12.75" hidden="1">
      <c r="A588" s="2" t="s">
        <v>260</v>
      </c>
      <c r="B588" s="222">
        <v>7584.78</v>
      </c>
      <c r="C588" s="19"/>
      <c r="D588" s="230" t="e">
        <f t="shared" si="3"/>
        <v>#DIV/0!</v>
      </c>
    </row>
    <row r="589" spans="1:4" ht="12.75" hidden="1">
      <c r="A589" s="2" t="s">
        <v>261</v>
      </c>
      <c r="B589" s="222">
        <v>7529.26</v>
      </c>
      <c r="C589" s="19"/>
      <c r="D589" s="230" t="e">
        <f t="shared" si="3"/>
        <v>#DIV/0!</v>
      </c>
    </row>
    <row r="590" spans="1:4" ht="12.75" hidden="1">
      <c r="A590" s="2" t="s">
        <v>262</v>
      </c>
      <c r="B590" s="222">
        <v>7550.43</v>
      </c>
      <c r="C590" s="19"/>
      <c r="D590" s="230" t="e">
        <f t="shared" si="3"/>
        <v>#DIV/0!</v>
      </c>
    </row>
    <row r="591" spans="1:4" ht="12.75" hidden="1">
      <c r="A591" s="2" t="s">
        <v>263</v>
      </c>
      <c r="B591" s="222">
        <v>7497.58</v>
      </c>
      <c r="C591" s="19"/>
      <c r="D591" s="230" t="e">
        <f t="shared" si="3"/>
        <v>#DIV/0!</v>
      </c>
    </row>
    <row r="592" spans="1:4" ht="12.75" hidden="1">
      <c r="A592" s="2" t="s">
        <v>264</v>
      </c>
      <c r="B592" s="222">
        <v>7538.818408440001</v>
      </c>
      <c r="C592" s="19"/>
      <c r="D592" s="230" t="e">
        <f t="shared" si="3"/>
        <v>#DIV/0!</v>
      </c>
    </row>
    <row r="593" spans="1:4" ht="12.75" hidden="1">
      <c r="A593" s="2" t="s">
        <v>265</v>
      </c>
      <c r="B593" s="222">
        <f>'[1]DEUDA MUNICIPIOS AVALadOS'!$E$81</f>
        <v>8031.110000000001</v>
      </c>
      <c r="C593" s="19"/>
      <c r="D593" s="230" t="e">
        <f t="shared" si="3"/>
        <v>#DIV/0!</v>
      </c>
    </row>
    <row r="594" spans="1:4" ht="12.75" hidden="1">
      <c r="A594" s="2" t="s">
        <v>266</v>
      </c>
      <c r="B594" s="222">
        <f>'[1]DEUDA MUNICIPIOS AVALadOS'!$E$81</f>
        <v>8031.110000000001</v>
      </c>
      <c r="C594" s="19"/>
      <c r="D594" s="230" t="e">
        <f t="shared" si="3"/>
        <v>#DIV/0!</v>
      </c>
    </row>
    <row r="595" spans="1:4" ht="12.75" hidden="1">
      <c r="A595" s="2" t="s">
        <v>267</v>
      </c>
      <c r="B595" s="222">
        <f>'[1]DEUDA MUNICIPIOS AVALadOS'!$E$81</f>
        <v>8031.110000000001</v>
      </c>
      <c r="C595" s="19"/>
      <c r="D595" s="230" t="e">
        <f t="shared" si="3"/>
        <v>#DIV/0!</v>
      </c>
    </row>
    <row r="596" spans="1:4" ht="12.75" hidden="1">
      <c r="A596" s="2" t="s">
        <v>268</v>
      </c>
      <c r="B596" s="222">
        <f>'[1]DEUDA MUNICIPIOS AVALadOS'!$E$81</f>
        <v>8031.110000000001</v>
      </c>
      <c r="C596" s="19"/>
      <c r="D596" s="230" t="e">
        <f t="shared" si="3"/>
        <v>#DIV/0!</v>
      </c>
    </row>
    <row r="597" spans="1:4" ht="12.75" hidden="1">
      <c r="A597" s="2"/>
      <c r="B597" s="222"/>
      <c r="C597" s="19"/>
      <c r="D597" s="230" t="e">
        <f t="shared" si="3"/>
        <v>#DIV/0!</v>
      </c>
    </row>
    <row r="598" spans="1:4" ht="12.75" hidden="1">
      <c r="A598" s="18" t="s">
        <v>196</v>
      </c>
      <c r="B598" s="222">
        <f>' DEUDA MUNICIPIOS NO AVALADOS'!E182*12</f>
        <v>286288.92</v>
      </c>
      <c r="C598" s="19">
        <v>9145695</v>
      </c>
      <c r="D598" s="230">
        <f t="shared" si="3"/>
        <v>0.031303134425541196</v>
      </c>
    </row>
    <row r="599" spans="1:4" ht="12.75">
      <c r="A599" s="18" t="s">
        <v>93</v>
      </c>
      <c r="B599" s="222">
        <f>' DEUDA MUNICIPIOS NO AVALADOS'!E185*12</f>
        <v>991076.5199999999</v>
      </c>
      <c r="C599" s="232">
        <v>12536043</v>
      </c>
      <c r="D599" s="229">
        <f>B599/C599</f>
        <v>0.07905816213297927</v>
      </c>
    </row>
    <row r="600" spans="1:4" ht="12.75" hidden="1">
      <c r="A600" s="2" t="s">
        <v>257</v>
      </c>
      <c r="B600" s="222">
        <f>4838.1+118997.4</f>
        <v>123835.5</v>
      </c>
      <c r="C600" s="19"/>
      <c r="D600" s="229"/>
    </row>
    <row r="601" spans="1:4" ht="12.75" hidden="1">
      <c r="A601" s="2" t="s">
        <v>258</v>
      </c>
      <c r="B601" s="222">
        <f>4863.9+122404.31</f>
        <v>127268.20999999999</v>
      </c>
      <c r="C601" s="19"/>
      <c r="D601" s="229"/>
    </row>
    <row r="602" spans="1:4" ht="12.75" hidden="1">
      <c r="A602" s="2" t="s">
        <v>259</v>
      </c>
      <c r="B602" s="222">
        <f>4782.41+115823.11</f>
        <v>120605.52</v>
      </c>
      <c r="C602" s="19"/>
      <c r="D602" s="229"/>
    </row>
    <row r="603" spans="1:4" ht="12.75" hidden="1">
      <c r="A603" s="2" t="s">
        <v>260</v>
      </c>
      <c r="B603" s="222">
        <f>4919.71+116385.73</f>
        <v>121305.44</v>
      </c>
      <c r="C603" s="19"/>
      <c r="D603" s="229"/>
    </row>
    <row r="604" spans="1:4" ht="12.75" hidden="1">
      <c r="A604" s="2" t="s">
        <v>261</v>
      </c>
      <c r="B604" s="222">
        <f>4883.68+33177.02</f>
        <v>38060.7</v>
      </c>
      <c r="C604" s="19"/>
      <c r="D604" s="229"/>
    </row>
    <row r="605" spans="1:4" ht="12.75" hidden="1">
      <c r="A605" s="2" t="s">
        <v>262</v>
      </c>
      <c r="B605" s="222">
        <f>4897.41+85246.75</f>
        <v>90144.16</v>
      </c>
      <c r="C605" s="19"/>
      <c r="D605" s="229"/>
    </row>
    <row r="606" spans="1:4" ht="12.75" hidden="1">
      <c r="A606" s="2" t="s">
        <v>263</v>
      </c>
      <c r="B606" s="222">
        <f>4863.12+31823.23</f>
        <v>36686.35</v>
      </c>
      <c r="C606" s="19"/>
      <c r="D606" s="229"/>
    </row>
    <row r="607" spans="1:4" ht="12.75" hidden="1">
      <c r="A607" s="2" t="s">
        <v>264</v>
      </c>
      <c r="B607" s="222">
        <v>91036.67794322001</v>
      </c>
      <c r="C607" s="19"/>
      <c r="D607" s="229"/>
    </row>
    <row r="608" spans="1:4" ht="12.75" hidden="1">
      <c r="A608" s="2" t="s">
        <v>265</v>
      </c>
      <c r="B608" s="222">
        <f>'[1]DEUDA MUNICIPIOS AVALadOS'!$E$85+'[1] DEUDA MUNICIPIOS NO AVALADOS'!$E$174</f>
        <v>29068.95</v>
      </c>
      <c r="C608" s="19"/>
      <c r="D608" s="229"/>
    </row>
    <row r="609" spans="1:4" ht="12.75" hidden="1">
      <c r="A609" s="2" t="s">
        <v>266</v>
      </c>
      <c r="B609" s="222">
        <f>'[1]DEUDA MUNICIPIOS AVALadOS'!$E$85+'[1] DEUDA MUNICIPIOS NO AVALADOS'!$E$174</f>
        <v>29068.95</v>
      </c>
      <c r="C609" s="19"/>
      <c r="D609" s="229"/>
    </row>
    <row r="610" spans="1:4" ht="12.75" hidden="1">
      <c r="A610" s="2" t="s">
        <v>267</v>
      </c>
      <c r="B610" s="222">
        <f>'[1]DEUDA MUNICIPIOS AVALadOS'!$E$85+'[1] DEUDA MUNICIPIOS NO AVALADOS'!$E$174</f>
        <v>29068.95</v>
      </c>
      <c r="C610" s="19"/>
      <c r="D610" s="229"/>
    </row>
    <row r="611" spans="1:4" ht="12.75" hidden="1">
      <c r="A611" s="2" t="s">
        <v>268</v>
      </c>
      <c r="B611" s="222">
        <f>'[1]DEUDA MUNICIPIOS AVALadOS'!$E$85+'[1] DEUDA MUNICIPIOS NO AVALADOS'!$E$174</f>
        <v>29068.95</v>
      </c>
      <c r="C611" s="19"/>
      <c r="D611" s="229"/>
    </row>
    <row r="612" spans="1:4" ht="12.75" hidden="1">
      <c r="A612" s="2"/>
      <c r="B612" s="222"/>
      <c r="C612" s="19"/>
      <c r="D612" s="229"/>
    </row>
    <row r="613" spans="1:4" ht="12.75">
      <c r="A613" s="18" t="s">
        <v>94</v>
      </c>
      <c r="B613" s="222">
        <f>' DEUDA MUNICIPIOS NO AVALADOS'!E188*12</f>
        <v>673050.6000000001</v>
      </c>
      <c r="C613" s="232">
        <v>35463767</v>
      </c>
      <c r="D613" s="229">
        <f>B613/C613</f>
        <v>0.01897854224002769</v>
      </c>
    </row>
    <row r="614" spans="1:4" ht="12.75" hidden="1">
      <c r="A614" s="2" t="s">
        <v>257</v>
      </c>
      <c r="B614" s="222">
        <f>63124.48+1254.04</f>
        <v>64378.520000000004</v>
      </c>
      <c r="C614" s="19"/>
      <c r="D614" s="229"/>
    </row>
    <row r="615" spans="1:4" ht="12.75" hidden="1">
      <c r="A615" s="2" t="s">
        <v>258</v>
      </c>
      <c r="B615" s="222">
        <f>60395.5+1269.63</f>
        <v>61665.13</v>
      </c>
      <c r="C615" s="19"/>
      <c r="D615" s="229"/>
    </row>
    <row r="616" spans="1:4" ht="12.75" hidden="1">
      <c r="A616" s="2" t="s">
        <v>259</v>
      </c>
      <c r="B616" s="222">
        <f>62609.67+1248.36</f>
        <v>63858.03</v>
      </c>
      <c r="C616" s="19"/>
      <c r="D616" s="229"/>
    </row>
    <row r="617" spans="1:4" ht="12.75" hidden="1">
      <c r="A617" s="2" t="s">
        <v>260</v>
      </c>
      <c r="B617" s="222">
        <f>60002.28+1284.25</f>
        <v>61286.53</v>
      </c>
      <c r="C617" s="19"/>
      <c r="D617" s="229"/>
    </row>
    <row r="618" spans="1:4" ht="12.75" hidden="1">
      <c r="A618" s="2" t="s">
        <v>261</v>
      </c>
      <c r="B618" s="222">
        <f>60503.18+1274.79</f>
        <v>61777.97</v>
      </c>
      <c r="C618" s="19"/>
      <c r="D618" s="229"/>
    </row>
    <row r="619" spans="1:4" ht="12.75" hidden="1">
      <c r="A619" s="2" t="s">
        <v>262</v>
      </c>
      <c r="B619" s="222">
        <f>58024.07+1278.35</f>
        <v>59302.42</v>
      </c>
      <c r="C619" s="19"/>
      <c r="D619" s="229"/>
    </row>
    <row r="620" spans="1:4" ht="12.75" hidden="1">
      <c r="A620" s="2" t="s">
        <v>263</v>
      </c>
      <c r="B620" s="222">
        <f>1269.48+59415.94</f>
        <v>60685.420000000006</v>
      </c>
      <c r="C620" s="19"/>
      <c r="D620" s="229"/>
    </row>
    <row r="621" spans="1:4" ht="12.75" hidden="1">
      <c r="A621" s="2" t="s">
        <v>264</v>
      </c>
      <c r="B621" s="222">
        <v>61456.67584652</v>
      </c>
      <c r="C621" s="19"/>
      <c r="D621" s="229"/>
    </row>
    <row r="622" spans="1:4" ht="12.75" hidden="1">
      <c r="A622" s="2" t="s">
        <v>265</v>
      </c>
      <c r="B622" s="222">
        <f>'[1] DEUDA MUNICIPIOS NO AVALADOS'!$E$177+'[1]DEUDA MUNICIPIOS AVALadOS'!$E$89</f>
        <v>53647.88</v>
      </c>
      <c r="C622" s="19"/>
      <c r="D622" s="229"/>
    </row>
    <row r="623" spans="1:4" ht="12.75" hidden="1">
      <c r="A623" s="2" t="s">
        <v>266</v>
      </c>
      <c r="B623" s="222">
        <f>'[1] DEUDA MUNICIPIOS NO AVALADOS'!$E$177+'[1]DEUDA MUNICIPIOS AVALadOS'!$E$89</f>
        <v>53647.88</v>
      </c>
      <c r="C623" s="19"/>
      <c r="D623" s="229"/>
    </row>
    <row r="624" spans="1:4" ht="12.75" hidden="1">
      <c r="A624" s="2" t="s">
        <v>267</v>
      </c>
      <c r="B624" s="222">
        <f>'[1] DEUDA MUNICIPIOS NO AVALADOS'!$E$177+'[1]DEUDA MUNICIPIOS AVALadOS'!$E$89</f>
        <v>53647.88</v>
      </c>
      <c r="C624" s="19"/>
      <c r="D624" s="229"/>
    </row>
    <row r="625" spans="1:4" ht="12.75" hidden="1">
      <c r="A625" s="2" t="s">
        <v>268</v>
      </c>
      <c r="B625" s="222">
        <f>'[1] DEUDA MUNICIPIOS NO AVALADOS'!$E$177+'[1]DEUDA MUNICIPIOS AVALadOS'!$E$89</f>
        <v>53647.88</v>
      </c>
      <c r="C625" s="19"/>
      <c r="D625" s="229"/>
    </row>
    <row r="626" spans="1:4" ht="12.75" hidden="1">
      <c r="A626" s="2"/>
      <c r="B626" s="222"/>
      <c r="C626" s="19"/>
      <c r="D626" s="229"/>
    </row>
    <row r="627" spans="1:4" ht="12.75">
      <c r="A627" s="18" t="s">
        <v>200</v>
      </c>
      <c r="B627" s="222">
        <f>' DEUDA MUNICIPIOS NO AVALADOS'!E191*12</f>
        <v>357360.12</v>
      </c>
      <c r="C627" s="232">
        <v>10079189</v>
      </c>
      <c r="D627" s="229">
        <f>B627/C627</f>
        <v>0.03545524545675252</v>
      </c>
    </row>
    <row r="628" spans="1:4" ht="12.75" hidden="1">
      <c r="A628" s="2" t="s">
        <v>257</v>
      </c>
      <c r="B628" s="222">
        <f>33238.91</f>
        <v>33238.91</v>
      </c>
      <c r="C628" s="19"/>
      <c r="D628" s="229" t="e">
        <f aca="true" t="shared" si="4" ref="D628:D642">B628/C628</f>
        <v>#DIV/0!</v>
      </c>
    </row>
    <row r="629" spans="1:4" ht="12.75" hidden="1">
      <c r="A629" s="2" t="s">
        <v>258</v>
      </c>
      <c r="B629" s="222">
        <v>31741.63</v>
      </c>
      <c r="C629" s="19"/>
      <c r="D629" s="229" t="e">
        <f t="shared" si="4"/>
        <v>#DIV/0!</v>
      </c>
    </row>
    <row r="630" spans="1:4" ht="12.75" hidden="1">
      <c r="A630" s="2" t="s">
        <v>259</v>
      </c>
      <c r="B630" s="222">
        <v>32852.31</v>
      </c>
      <c r="C630" s="19"/>
      <c r="D630" s="229" t="e">
        <f t="shared" si="4"/>
        <v>#DIV/0!</v>
      </c>
    </row>
    <row r="631" spans="1:4" ht="12.75" hidden="1">
      <c r="A631" s="2" t="s">
        <v>260</v>
      </c>
      <c r="B631" s="222">
        <v>6229.61</v>
      </c>
      <c r="C631" s="20"/>
      <c r="D631" s="229" t="e">
        <f t="shared" si="4"/>
        <v>#DIV/0!</v>
      </c>
    </row>
    <row r="632" spans="1:4" ht="12.75" hidden="1">
      <c r="A632" s="2" t="s">
        <v>261</v>
      </c>
      <c r="B632" s="222">
        <v>36688.15</v>
      </c>
      <c r="C632" s="20"/>
      <c r="D632" s="229" t="e">
        <f t="shared" si="4"/>
        <v>#DIV/0!</v>
      </c>
    </row>
    <row r="633" spans="1:4" ht="12.75" hidden="1">
      <c r="A633" s="2" t="s">
        <v>262</v>
      </c>
      <c r="B633" s="222">
        <v>5709.57</v>
      </c>
      <c r="C633" s="19"/>
      <c r="D633" s="229" t="e">
        <f t="shared" si="4"/>
        <v>#DIV/0!</v>
      </c>
    </row>
    <row r="634" spans="1:4" ht="12.75" hidden="1">
      <c r="A634" s="2" t="s">
        <v>263</v>
      </c>
      <c r="B634" s="222">
        <v>31100.47</v>
      </c>
      <c r="C634" s="19"/>
      <c r="D634" s="229" t="e">
        <f t="shared" si="4"/>
        <v>#DIV/0!</v>
      </c>
    </row>
    <row r="635" spans="1:4" ht="12.75" hidden="1">
      <c r="A635" s="2" t="s">
        <v>264</v>
      </c>
      <c r="B635" s="222" t="s">
        <v>272</v>
      </c>
      <c r="C635" s="20"/>
      <c r="D635" s="229" t="e">
        <f t="shared" si="4"/>
        <v>#VALUE!</v>
      </c>
    </row>
    <row r="636" spans="1:4" ht="12.75" hidden="1">
      <c r="A636" s="2" t="s">
        <v>265</v>
      </c>
      <c r="B636" s="222">
        <f>'[1] DEUDA MUNICIPIOS NO AVALADOS'!$E$180</f>
        <v>27838.21</v>
      </c>
      <c r="C636" s="20"/>
      <c r="D636" s="229" t="e">
        <f t="shared" si="4"/>
        <v>#DIV/0!</v>
      </c>
    </row>
    <row r="637" spans="1:4" ht="12.75" hidden="1">
      <c r="A637" s="2" t="s">
        <v>266</v>
      </c>
      <c r="B637" s="222">
        <f>'[1] DEUDA MUNICIPIOS NO AVALADOS'!$E$180</f>
        <v>27838.21</v>
      </c>
      <c r="C637" s="19"/>
      <c r="D637" s="229" t="e">
        <f t="shared" si="4"/>
        <v>#DIV/0!</v>
      </c>
    </row>
    <row r="638" spans="1:9" s="11" customFormat="1" ht="12.75" hidden="1">
      <c r="A638" s="2" t="s">
        <v>267</v>
      </c>
      <c r="B638" s="222">
        <f>'[1] DEUDA MUNICIPIOS NO AVALADOS'!$E$180</f>
        <v>27838.21</v>
      </c>
      <c r="C638" s="20"/>
      <c r="D638" s="229" t="e">
        <f t="shared" si="4"/>
        <v>#DIV/0!</v>
      </c>
      <c r="E638" s="1"/>
      <c r="F638" s="1"/>
      <c r="G638" s="1"/>
      <c r="H638" s="1"/>
      <c r="I638" s="1"/>
    </row>
    <row r="639" spans="1:9" s="11" customFormat="1" ht="12.75" hidden="1">
      <c r="A639" s="2" t="s">
        <v>268</v>
      </c>
      <c r="B639" s="222">
        <f>'[1] DEUDA MUNICIPIOS NO AVALADOS'!$E$180</f>
        <v>27838.21</v>
      </c>
      <c r="C639" s="20"/>
      <c r="D639" s="229" t="e">
        <f t="shared" si="4"/>
        <v>#DIV/0!</v>
      </c>
      <c r="E639" s="1"/>
      <c r="F639" s="1"/>
      <c r="G639" s="1"/>
      <c r="H639" s="1"/>
      <c r="I639" s="1"/>
    </row>
    <row r="640" spans="1:9" s="11" customFormat="1" ht="12.75" hidden="1">
      <c r="A640" s="4"/>
      <c r="B640" s="224"/>
      <c r="C640" s="24"/>
      <c r="D640" s="229" t="e">
        <f t="shared" si="4"/>
        <v>#DIV/0!</v>
      </c>
      <c r="E640" s="1"/>
      <c r="F640" s="1"/>
      <c r="G640" s="1"/>
      <c r="H640" s="1"/>
      <c r="I640" s="1"/>
    </row>
    <row r="641" spans="1:9" s="11" customFormat="1" ht="12.75" hidden="1">
      <c r="A641" s="25"/>
      <c r="B641" s="227"/>
      <c r="C641" s="24"/>
      <c r="D641" s="229" t="e">
        <f t="shared" si="4"/>
        <v>#DIV/0!</v>
      </c>
      <c r="E641" s="1"/>
      <c r="F641" s="1"/>
      <c r="G641" s="1"/>
      <c r="H641" s="1"/>
      <c r="I641" s="1"/>
    </row>
    <row r="642" spans="1:4" ht="12.75">
      <c r="A642" s="18" t="s">
        <v>202</v>
      </c>
      <c r="B642" s="228">
        <f>' DEUDA MUNICIPIOS NO AVALADOS'!E194*12</f>
        <v>975915.36</v>
      </c>
      <c r="C642" s="232">
        <v>26558502</v>
      </c>
      <c r="D642" s="229">
        <f t="shared" si="4"/>
        <v>0.0367458736942317</v>
      </c>
    </row>
    <row r="643" spans="1:9" s="11" customFormat="1" ht="12.75">
      <c r="A643" s="1"/>
      <c r="B643" s="1"/>
      <c r="C643" s="19"/>
      <c r="D643" s="27"/>
      <c r="E643" s="1"/>
      <c r="F643" s="1"/>
      <c r="G643" s="1"/>
      <c r="H643" s="1"/>
      <c r="I643" s="1"/>
    </row>
    <row r="644" ht="12.75">
      <c r="C644" s="26"/>
    </row>
    <row r="645" ht="12.75">
      <c r="C645" s="26"/>
    </row>
    <row r="646" ht="12.75">
      <c r="C646" s="26"/>
    </row>
    <row r="647" ht="12.75">
      <c r="C647" s="26"/>
    </row>
    <row r="648" ht="12.75">
      <c r="C648" s="26"/>
    </row>
    <row r="649" ht="12.75">
      <c r="C649" s="26"/>
    </row>
    <row r="650" ht="12.75">
      <c r="C650" s="26"/>
    </row>
    <row r="651" ht="12.75">
      <c r="C651" s="26"/>
    </row>
    <row r="652" ht="12.75">
      <c r="C652" s="26"/>
    </row>
    <row r="653" ht="12.75">
      <c r="C653" s="26"/>
    </row>
    <row r="654" ht="12.75">
      <c r="C654" s="26"/>
    </row>
    <row r="655" ht="12.75">
      <c r="C655" s="26"/>
    </row>
    <row r="656" ht="12.75">
      <c r="C656" s="26"/>
    </row>
    <row r="657" ht="12.75">
      <c r="C657" s="26"/>
    </row>
    <row r="658" ht="12.75">
      <c r="C658" s="26"/>
    </row>
    <row r="659" ht="12.75">
      <c r="C659" s="28"/>
    </row>
    <row r="660" ht="12.75">
      <c r="C660" s="28"/>
    </row>
    <row r="661" ht="12.75">
      <c r="C661" s="28"/>
    </row>
    <row r="662" ht="12.75">
      <c r="C662" s="28"/>
    </row>
    <row r="663" ht="12.75">
      <c r="C663" s="28"/>
    </row>
    <row r="664" ht="12.75">
      <c r="C664" s="28"/>
    </row>
    <row r="665" ht="12.75">
      <c r="C665" s="28"/>
    </row>
    <row r="666" ht="12.75">
      <c r="C666" s="28"/>
    </row>
    <row r="667" ht="12.75">
      <c r="C667" s="28"/>
    </row>
    <row r="668" ht="12.75">
      <c r="C668" s="28"/>
    </row>
    <row r="669" ht="12.75">
      <c r="C669" s="26"/>
    </row>
    <row r="670" ht="12.75">
      <c r="C670" s="26"/>
    </row>
    <row r="671" ht="12.75">
      <c r="C671" s="26"/>
    </row>
    <row r="672" ht="12.75">
      <c r="C672" s="26"/>
    </row>
    <row r="673" ht="12.75">
      <c r="C673" s="26"/>
    </row>
    <row r="674" ht="12.75">
      <c r="C674" s="26"/>
    </row>
    <row r="675" ht="12.75">
      <c r="C675" s="26"/>
    </row>
    <row r="676" ht="12.75">
      <c r="C676" s="26"/>
    </row>
    <row r="677" ht="12.75">
      <c r="C677" s="26"/>
    </row>
    <row r="678" ht="12.75">
      <c r="C678" s="26"/>
    </row>
    <row r="679" ht="12.75">
      <c r="C679" s="26"/>
    </row>
    <row r="680" ht="12.75">
      <c r="C680" s="26"/>
    </row>
    <row r="681" ht="12.75">
      <c r="C681" s="26"/>
    </row>
    <row r="682" ht="12.75">
      <c r="C682" s="26"/>
    </row>
    <row r="683" ht="12.75">
      <c r="C683" s="26"/>
    </row>
    <row r="684" ht="12.75">
      <c r="C684" s="26"/>
    </row>
    <row r="685" ht="12.75">
      <c r="C685" s="26"/>
    </row>
    <row r="686" ht="12.75">
      <c r="C686" s="26"/>
    </row>
    <row r="687" ht="12.75">
      <c r="C687" s="26"/>
    </row>
    <row r="688" ht="12.75">
      <c r="C688" s="26"/>
    </row>
    <row r="689" ht="12.75">
      <c r="C689" s="26"/>
    </row>
    <row r="690" ht="12.75">
      <c r="C690" s="26"/>
    </row>
    <row r="691" ht="12.75">
      <c r="C691" s="26"/>
    </row>
    <row r="692" ht="12.75">
      <c r="C692" s="26"/>
    </row>
    <row r="693" ht="12.75">
      <c r="C693" s="26"/>
    </row>
    <row r="694" ht="12.75">
      <c r="C694" s="26"/>
    </row>
    <row r="695" ht="12.75">
      <c r="C695" s="26"/>
    </row>
    <row r="696" ht="12.75">
      <c r="C696" s="26"/>
    </row>
    <row r="697" ht="12.75">
      <c r="C697" s="26"/>
    </row>
    <row r="698" ht="12.75">
      <c r="C698" s="26"/>
    </row>
    <row r="699" ht="12.75">
      <c r="C699" s="26"/>
    </row>
    <row r="700" ht="12.75">
      <c r="C700" s="26"/>
    </row>
    <row r="701" ht="12.75">
      <c r="C701" s="26"/>
    </row>
    <row r="702" ht="12.75">
      <c r="C702" s="26"/>
    </row>
    <row r="703" ht="12.75">
      <c r="C703" s="26"/>
    </row>
    <row r="704" ht="12.75">
      <c r="C704" s="26"/>
    </row>
    <row r="705" ht="12.75">
      <c r="C705" s="26"/>
    </row>
    <row r="706" ht="12.75">
      <c r="C706" s="26"/>
    </row>
    <row r="707" ht="12.75">
      <c r="C707" s="26"/>
    </row>
    <row r="708" ht="12.75">
      <c r="C708" s="26"/>
    </row>
    <row r="709" ht="12.75">
      <c r="C709" s="26"/>
    </row>
    <row r="710" ht="12.75">
      <c r="C710" s="26"/>
    </row>
    <row r="711" ht="12.75">
      <c r="C711" s="26"/>
    </row>
    <row r="712" ht="12.75">
      <c r="C712" s="26"/>
    </row>
    <row r="713" ht="12.75">
      <c r="C713" s="26"/>
    </row>
    <row r="714" ht="12.75">
      <c r="C714" s="26"/>
    </row>
    <row r="715" ht="12.75">
      <c r="C715" s="26"/>
    </row>
    <row r="716" ht="12.75">
      <c r="C716" s="26"/>
    </row>
    <row r="717" ht="12.75">
      <c r="C717" s="26"/>
    </row>
    <row r="718" ht="12.75">
      <c r="C718" s="26"/>
    </row>
    <row r="719" ht="12.75">
      <c r="C719" s="26"/>
    </row>
    <row r="720" ht="12.75">
      <c r="C720" s="26"/>
    </row>
    <row r="721" ht="12.75">
      <c r="C721" s="26"/>
    </row>
    <row r="722" ht="12.75">
      <c r="C722" s="26"/>
    </row>
    <row r="723" ht="12.75">
      <c r="C723" s="26"/>
    </row>
    <row r="724" ht="12.75">
      <c r="C724" s="26"/>
    </row>
    <row r="725" ht="12.75">
      <c r="C725" s="26"/>
    </row>
    <row r="726" ht="12.75">
      <c r="C726" s="14"/>
    </row>
    <row r="727" ht="12.75">
      <c r="C727" s="26"/>
    </row>
    <row r="728" ht="12.75">
      <c r="C728" s="26"/>
    </row>
    <row r="729" ht="12.75">
      <c r="C729" s="26"/>
    </row>
    <row r="730" ht="12.75">
      <c r="C730" s="26"/>
    </row>
    <row r="731" ht="12.75">
      <c r="C731" s="26"/>
    </row>
    <row r="732" ht="12.75">
      <c r="C732" s="26"/>
    </row>
    <row r="733" ht="12.75">
      <c r="C733" s="26"/>
    </row>
    <row r="734" ht="12.75">
      <c r="C734" s="26"/>
    </row>
    <row r="735" ht="12.75">
      <c r="C735" s="26"/>
    </row>
    <row r="736" ht="12.75">
      <c r="C736" s="26"/>
    </row>
    <row r="737" ht="12.75">
      <c r="C737" s="26"/>
    </row>
    <row r="738" ht="12.75">
      <c r="C738" s="26"/>
    </row>
    <row r="739" ht="12.75">
      <c r="C739" s="26"/>
    </row>
    <row r="740" ht="12.75">
      <c r="C740" s="26"/>
    </row>
    <row r="741" ht="12.75">
      <c r="C741" s="26"/>
    </row>
    <row r="742" ht="12.75">
      <c r="C742" s="26"/>
    </row>
    <row r="743" ht="12.75">
      <c r="C743" s="26"/>
    </row>
    <row r="744" ht="12.75">
      <c r="C744" s="26"/>
    </row>
    <row r="745" ht="12.75">
      <c r="C745" s="26"/>
    </row>
    <row r="746" ht="12.75">
      <c r="C746" s="26"/>
    </row>
    <row r="747" ht="12.75">
      <c r="C747" s="26"/>
    </row>
    <row r="748" ht="12.75">
      <c r="C748" s="26"/>
    </row>
    <row r="749" ht="12.75">
      <c r="C749" s="26"/>
    </row>
    <row r="750" ht="12.75">
      <c r="C750" s="26"/>
    </row>
    <row r="751" ht="12.75">
      <c r="C751" s="26"/>
    </row>
    <row r="752" ht="12.75">
      <c r="C752" s="26"/>
    </row>
    <row r="753" ht="12.75">
      <c r="C753" s="26"/>
    </row>
    <row r="754" ht="12.75">
      <c r="C754" s="26"/>
    </row>
    <row r="755" ht="12.75">
      <c r="C755" s="26"/>
    </row>
    <row r="756" ht="12.75">
      <c r="C756" s="26"/>
    </row>
    <row r="757" ht="12.75">
      <c r="C757" s="26"/>
    </row>
    <row r="758" ht="12.75">
      <c r="C758" s="26"/>
    </row>
    <row r="759" ht="12.75">
      <c r="C759" s="26"/>
    </row>
    <row r="760" ht="12.75">
      <c r="C760" s="26"/>
    </row>
    <row r="761" ht="12.75">
      <c r="C761" s="26"/>
    </row>
    <row r="762" ht="12.75">
      <c r="C762" s="26"/>
    </row>
    <row r="763" ht="12.75">
      <c r="C763" s="26"/>
    </row>
    <row r="764" ht="12.75">
      <c r="C764" s="26"/>
    </row>
    <row r="765" ht="12.75">
      <c r="C765" s="26"/>
    </row>
    <row r="766" ht="12.75">
      <c r="C766" s="26"/>
    </row>
    <row r="767" ht="12.75">
      <c r="C767" s="26"/>
    </row>
    <row r="768" ht="12.75">
      <c r="C768" s="14"/>
    </row>
    <row r="769" ht="12.75">
      <c r="C769" s="26"/>
    </row>
    <row r="770" ht="12.75">
      <c r="C770" s="26"/>
    </row>
    <row r="771" ht="12.75">
      <c r="C771" s="26"/>
    </row>
    <row r="772" ht="12.75">
      <c r="C772" s="26"/>
    </row>
    <row r="773" ht="12.75">
      <c r="C773" s="26"/>
    </row>
    <row r="774" ht="12.75">
      <c r="C774" s="26"/>
    </row>
    <row r="775" ht="12.75">
      <c r="C775" s="26"/>
    </row>
    <row r="776" ht="12.75">
      <c r="C776" s="26"/>
    </row>
    <row r="777" ht="12.75">
      <c r="C777" s="26"/>
    </row>
    <row r="778" ht="12.75">
      <c r="C778" s="26"/>
    </row>
    <row r="779" ht="12.75">
      <c r="C779" s="26"/>
    </row>
    <row r="780" ht="12.75">
      <c r="C780" s="26"/>
    </row>
    <row r="781" ht="12.75">
      <c r="C781" s="26"/>
    </row>
    <row r="782" ht="12.75">
      <c r="C782" s="26"/>
    </row>
    <row r="783" ht="12.75">
      <c r="C783" s="26"/>
    </row>
    <row r="784" ht="12.75">
      <c r="C784" s="26"/>
    </row>
    <row r="785" ht="12.75">
      <c r="C785" s="26"/>
    </row>
    <row r="786" ht="12.75">
      <c r="C786" s="26"/>
    </row>
    <row r="787" ht="12.75">
      <c r="C787" s="26"/>
    </row>
    <row r="788" ht="12.75">
      <c r="C788" s="26"/>
    </row>
    <row r="789" ht="12.75">
      <c r="C789" s="26"/>
    </row>
    <row r="790" ht="12.75">
      <c r="C790" s="26"/>
    </row>
    <row r="791" ht="12.75">
      <c r="C791" s="26"/>
    </row>
    <row r="792" ht="12.75">
      <c r="C792" s="26"/>
    </row>
    <row r="793" ht="12.75">
      <c r="C793" s="26"/>
    </row>
    <row r="794" ht="12.75">
      <c r="C794" s="26"/>
    </row>
    <row r="795" ht="12.75">
      <c r="C795" s="26"/>
    </row>
    <row r="796" ht="12.75">
      <c r="C796" s="26"/>
    </row>
    <row r="797" ht="12.75">
      <c r="C797" s="26"/>
    </row>
    <row r="798" ht="12.75">
      <c r="C798" s="26"/>
    </row>
    <row r="799" ht="12.75">
      <c r="C799" s="26"/>
    </row>
    <row r="800" ht="12.75">
      <c r="C800" s="26"/>
    </row>
    <row r="801" ht="12.75">
      <c r="C801" s="26"/>
    </row>
    <row r="802" ht="12.75">
      <c r="C802" s="26"/>
    </row>
    <row r="803" ht="12.75">
      <c r="C803" s="26"/>
    </row>
    <row r="804" ht="12.75">
      <c r="C804" s="26"/>
    </row>
    <row r="805" ht="12.75">
      <c r="C805" s="26"/>
    </row>
    <row r="806" ht="12.75">
      <c r="C806" s="26"/>
    </row>
    <row r="807" ht="12.75">
      <c r="C807" s="26"/>
    </row>
    <row r="808" ht="12.75">
      <c r="C808" s="26"/>
    </row>
    <row r="809" ht="12.75">
      <c r="C809" s="26"/>
    </row>
    <row r="810" ht="12.75">
      <c r="C810" s="26"/>
    </row>
    <row r="811" ht="12.75">
      <c r="C811" s="26"/>
    </row>
    <row r="812" ht="12.75">
      <c r="C812" s="26"/>
    </row>
    <row r="813" ht="12.75">
      <c r="C813" s="26"/>
    </row>
    <row r="814" ht="12.75">
      <c r="C814" s="26"/>
    </row>
    <row r="815" ht="12.75">
      <c r="C815" s="26"/>
    </row>
    <row r="816" ht="12.75">
      <c r="C816" s="26"/>
    </row>
    <row r="817" ht="12.75">
      <c r="C817" s="26"/>
    </row>
    <row r="818" ht="12.75">
      <c r="C818" s="26"/>
    </row>
    <row r="819" ht="12.75">
      <c r="C819" s="26"/>
    </row>
    <row r="820" ht="12.75">
      <c r="C820" s="26"/>
    </row>
    <row r="821" ht="12.75">
      <c r="C821" s="26"/>
    </row>
    <row r="822" ht="12.75">
      <c r="C822" s="26"/>
    </row>
    <row r="823" ht="12.75">
      <c r="C823" s="26"/>
    </row>
    <row r="824" ht="12.75">
      <c r="C824" s="26"/>
    </row>
    <row r="825" ht="12.75">
      <c r="C825" s="26"/>
    </row>
    <row r="826" ht="12.75">
      <c r="C826" s="26"/>
    </row>
    <row r="827" ht="12.75">
      <c r="C827" s="26"/>
    </row>
    <row r="828" ht="12.75">
      <c r="C828" s="26"/>
    </row>
    <row r="829" ht="12.75">
      <c r="C829" s="26"/>
    </row>
    <row r="830" ht="12.75">
      <c r="C830" s="26"/>
    </row>
    <row r="831" ht="12.75">
      <c r="C831" s="26"/>
    </row>
    <row r="832" ht="12.75">
      <c r="C832" s="26"/>
    </row>
    <row r="833" ht="12.75">
      <c r="C833" s="26"/>
    </row>
    <row r="834" ht="12.75">
      <c r="C834" s="26"/>
    </row>
    <row r="835" ht="12.75">
      <c r="C835" s="26"/>
    </row>
    <row r="836" ht="12.75">
      <c r="C836" s="26"/>
    </row>
    <row r="837" ht="12.75">
      <c r="C837" s="26"/>
    </row>
    <row r="838" ht="12.75">
      <c r="C838" s="26"/>
    </row>
    <row r="839" ht="12.75">
      <c r="C839" s="26"/>
    </row>
    <row r="840" ht="12.75">
      <c r="C840" s="26"/>
    </row>
    <row r="841" ht="12.75">
      <c r="C841" s="26"/>
    </row>
    <row r="842" ht="12.75">
      <c r="C842" s="26"/>
    </row>
    <row r="843" ht="12.75">
      <c r="C843" s="26"/>
    </row>
    <row r="844" ht="12.75">
      <c r="C844" s="26"/>
    </row>
    <row r="845" ht="12.75">
      <c r="C845" s="26"/>
    </row>
    <row r="846" ht="12.75">
      <c r="C846" s="26"/>
    </row>
    <row r="847" ht="12.75">
      <c r="C847" s="26"/>
    </row>
    <row r="848" ht="12.75">
      <c r="C848" s="26"/>
    </row>
    <row r="849" ht="12.75">
      <c r="C849" s="26"/>
    </row>
    <row r="850" ht="12.75">
      <c r="C850" s="26"/>
    </row>
    <row r="851" ht="12.75">
      <c r="C851" s="26"/>
    </row>
    <row r="852" ht="12.75">
      <c r="C852" s="26"/>
    </row>
    <row r="853" ht="12.75">
      <c r="C853" s="26"/>
    </row>
    <row r="854" ht="12.75">
      <c r="C854" s="26"/>
    </row>
    <row r="855" ht="12.75">
      <c r="C855" s="26"/>
    </row>
    <row r="856" ht="12.75">
      <c r="C856" s="26"/>
    </row>
    <row r="857" ht="12.75">
      <c r="C857" s="26"/>
    </row>
    <row r="858" ht="12.75">
      <c r="C858" s="26"/>
    </row>
    <row r="859" ht="12.75">
      <c r="C859" s="26"/>
    </row>
    <row r="860" ht="12.75">
      <c r="C860" s="26"/>
    </row>
    <row r="861" ht="12.75">
      <c r="C861" s="26"/>
    </row>
    <row r="862" ht="12.75">
      <c r="C862" s="26"/>
    </row>
    <row r="863" ht="12.75">
      <c r="C863" s="26"/>
    </row>
    <row r="864" ht="12.75">
      <c r="C864" s="26"/>
    </row>
    <row r="865" ht="12.75">
      <c r="C865" s="26"/>
    </row>
    <row r="866" ht="12.75">
      <c r="C866" s="26"/>
    </row>
    <row r="867" ht="12.75">
      <c r="C867" s="26"/>
    </row>
    <row r="868" ht="12.75">
      <c r="C868" s="26"/>
    </row>
    <row r="869" ht="12.75">
      <c r="C869" s="26"/>
    </row>
    <row r="870" ht="12.75">
      <c r="C870" s="26"/>
    </row>
    <row r="871" ht="12.75">
      <c r="C871" s="26"/>
    </row>
    <row r="872" ht="12.75">
      <c r="C872" s="26"/>
    </row>
    <row r="873" ht="12.75">
      <c r="C873" s="26"/>
    </row>
    <row r="874" ht="12.75">
      <c r="C874" s="26"/>
    </row>
    <row r="875" ht="12.75">
      <c r="C875" s="26"/>
    </row>
    <row r="876" ht="12.75">
      <c r="C876" s="28"/>
    </row>
    <row r="877" ht="12.75">
      <c r="C877" s="28"/>
    </row>
    <row r="878" ht="12.75">
      <c r="C878" s="26"/>
    </row>
    <row r="879" ht="12.75">
      <c r="C879" s="26"/>
    </row>
    <row r="880" ht="12.75">
      <c r="C880" s="26"/>
    </row>
    <row r="881" ht="12.75">
      <c r="C881" s="26"/>
    </row>
    <row r="882" ht="12.75">
      <c r="C882" s="26"/>
    </row>
    <row r="883" ht="12.75">
      <c r="C883" s="26"/>
    </row>
    <row r="884" ht="12.75">
      <c r="C884" s="26"/>
    </row>
    <row r="885" ht="12.75">
      <c r="C885" s="26"/>
    </row>
    <row r="886" ht="12.75">
      <c r="C886" s="26"/>
    </row>
    <row r="887" ht="12.75">
      <c r="C887" s="26"/>
    </row>
    <row r="888" ht="12.75">
      <c r="C888" s="26"/>
    </row>
    <row r="889" ht="12.75">
      <c r="C889" s="26"/>
    </row>
    <row r="890" ht="12.75">
      <c r="C890" s="26"/>
    </row>
    <row r="891" ht="12.75">
      <c r="C891" s="26"/>
    </row>
    <row r="892" ht="12.75">
      <c r="C892" s="26"/>
    </row>
    <row r="893" ht="12.75">
      <c r="C893" s="26"/>
    </row>
    <row r="894" ht="12.75">
      <c r="C894" s="26"/>
    </row>
    <row r="895" ht="12.75">
      <c r="C895" s="26"/>
    </row>
    <row r="896" ht="12.75">
      <c r="C896" s="26"/>
    </row>
    <row r="897" ht="12.75">
      <c r="C897" s="26"/>
    </row>
    <row r="898" ht="12.75">
      <c r="C898" s="26"/>
    </row>
    <row r="899" ht="12.75">
      <c r="C899" s="26"/>
    </row>
    <row r="900" ht="12.75">
      <c r="C900" s="26"/>
    </row>
    <row r="901" ht="12.75">
      <c r="C901" s="26"/>
    </row>
    <row r="902" ht="12.75">
      <c r="C902" s="26"/>
    </row>
    <row r="903" ht="12.75">
      <c r="C903" s="26"/>
    </row>
    <row r="904" ht="12.75">
      <c r="C904" s="26"/>
    </row>
    <row r="905" ht="12.75">
      <c r="C905" s="26"/>
    </row>
    <row r="906" ht="12.75">
      <c r="C906" s="26"/>
    </row>
    <row r="907" ht="12.75">
      <c r="C907" s="26"/>
    </row>
    <row r="908" ht="12.75">
      <c r="C908" s="26"/>
    </row>
    <row r="909" ht="12.75">
      <c r="C909" s="26"/>
    </row>
    <row r="910" ht="12.75">
      <c r="C910" s="26"/>
    </row>
    <row r="911" ht="12.75">
      <c r="C911" s="26"/>
    </row>
    <row r="912" ht="12.75">
      <c r="C912" s="26"/>
    </row>
    <row r="913" ht="12.75">
      <c r="C913" s="26"/>
    </row>
    <row r="914" ht="12.75">
      <c r="C914" s="26"/>
    </row>
    <row r="915" ht="12.75">
      <c r="C915" s="26"/>
    </row>
    <row r="916" ht="12.75">
      <c r="C916" s="26"/>
    </row>
    <row r="917" ht="12.75">
      <c r="C917" s="26"/>
    </row>
    <row r="918" ht="12.75">
      <c r="C918" s="26"/>
    </row>
    <row r="919" ht="12.75">
      <c r="C919" s="26"/>
    </row>
    <row r="920" ht="12.75">
      <c r="C920" s="26"/>
    </row>
    <row r="921" ht="12.75">
      <c r="C921" s="28"/>
    </row>
    <row r="922" ht="12.75">
      <c r="C922" s="28"/>
    </row>
    <row r="923" ht="12.75">
      <c r="C923" s="28"/>
    </row>
    <row r="924" ht="12.75">
      <c r="C924" s="28"/>
    </row>
    <row r="925" ht="12.75">
      <c r="C925" s="28"/>
    </row>
    <row r="926" ht="12.75">
      <c r="C926" s="28"/>
    </row>
    <row r="927" ht="12.75">
      <c r="C927" s="28"/>
    </row>
    <row r="928" ht="12.75">
      <c r="C928" s="28"/>
    </row>
    <row r="929" ht="12.75">
      <c r="C929" s="28"/>
    </row>
    <row r="930" ht="12.75">
      <c r="C930" s="28"/>
    </row>
    <row r="931" ht="12.75">
      <c r="C931" s="28"/>
    </row>
    <row r="932" ht="12.75">
      <c r="C932" s="28"/>
    </row>
    <row r="933" ht="12.75">
      <c r="C933" s="28"/>
    </row>
    <row r="934" ht="12.75">
      <c r="C934" s="26"/>
    </row>
    <row r="935" ht="12.75">
      <c r="C935" s="28"/>
    </row>
    <row r="936" ht="12.75">
      <c r="C936" s="28"/>
    </row>
    <row r="937" ht="12.75">
      <c r="C937" s="28"/>
    </row>
    <row r="938" ht="12.75">
      <c r="C938" s="28"/>
    </row>
    <row r="939" ht="12.75">
      <c r="C939" s="28"/>
    </row>
    <row r="940" ht="12.75">
      <c r="C940" s="28"/>
    </row>
    <row r="941" ht="12.75">
      <c r="C941" s="28"/>
    </row>
    <row r="942" ht="12.75">
      <c r="C942" s="28"/>
    </row>
    <row r="943" ht="12.75">
      <c r="C943" s="28"/>
    </row>
    <row r="944" ht="12.75">
      <c r="C944" s="28"/>
    </row>
    <row r="945" ht="12.75">
      <c r="C945" s="28"/>
    </row>
    <row r="946" ht="12.75">
      <c r="C946" s="28"/>
    </row>
    <row r="947" ht="12.75">
      <c r="C947" s="28"/>
    </row>
    <row r="948" ht="12.75">
      <c r="C948" s="29"/>
    </row>
    <row r="949" ht="12.75">
      <c r="C949" s="26"/>
    </row>
    <row r="950" ht="12.75">
      <c r="C950" s="26"/>
    </row>
    <row r="951" ht="12.75">
      <c r="C951" s="26"/>
    </row>
    <row r="952" ht="12.75">
      <c r="C952" s="26"/>
    </row>
    <row r="953" ht="12.75">
      <c r="C953" s="26"/>
    </row>
    <row r="954" ht="12.75">
      <c r="C954" s="26"/>
    </row>
    <row r="955" ht="12.75">
      <c r="C955" s="26"/>
    </row>
    <row r="956" ht="12.75">
      <c r="C956" s="26"/>
    </row>
    <row r="957" ht="12.75">
      <c r="C957" s="26"/>
    </row>
    <row r="958" ht="12.75">
      <c r="C958" s="26"/>
    </row>
    <row r="959" ht="12.75">
      <c r="C959" s="26"/>
    </row>
    <row r="960" ht="12.75">
      <c r="C960" s="26"/>
    </row>
    <row r="961" ht="12.75">
      <c r="C961" s="26"/>
    </row>
    <row r="962" ht="12.75">
      <c r="C962" s="26"/>
    </row>
    <row r="963" ht="12.75">
      <c r="C963" s="28"/>
    </row>
    <row r="964" ht="12.75">
      <c r="C964" s="28"/>
    </row>
    <row r="965" ht="12.75">
      <c r="C965" s="28"/>
    </row>
    <row r="966" ht="12.75">
      <c r="C966" s="28"/>
    </row>
    <row r="967" ht="12.75">
      <c r="C967" s="28"/>
    </row>
    <row r="968" ht="12.75">
      <c r="C968" s="28"/>
    </row>
    <row r="969" ht="12.75">
      <c r="C969" s="28"/>
    </row>
    <row r="970" ht="12.75">
      <c r="C970" s="28"/>
    </row>
    <row r="971" ht="12.75">
      <c r="C971" s="28"/>
    </row>
    <row r="972" ht="12.75">
      <c r="C972" s="28"/>
    </row>
    <row r="973" ht="12.75">
      <c r="C973" s="28"/>
    </row>
    <row r="974" ht="12.75">
      <c r="C974" s="28"/>
    </row>
    <row r="975" ht="12.75">
      <c r="C975" s="28"/>
    </row>
    <row r="976" ht="12.75">
      <c r="C976" s="28"/>
    </row>
    <row r="977" ht="12.75">
      <c r="C977" s="28"/>
    </row>
    <row r="978" ht="12.75">
      <c r="C978" s="28"/>
    </row>
    <row r="979" ht="12.75">
      <c r="C979" s="28"/>
    </row>
    <row r="980" ht="12.75">
      <c r="C980" s="28"/>
    </row>
    <row r="981" ht="12.75">
      <c r="C981" s="28"/>
    </row>
    <row r="982" ht="12.75">
      <c r="C982" s="28"/>
    </row>
    <row r="983" ht="12.75">
      <c r="C983" s="28"/>
    </row>
    <row r="984" ht="12.75">
      <c r="C984" s="28"/>
    </row>
    <row r="985" ht="12.75">
      <c r="C985" s="28"/>
    </row>
    <row r="986" ht="12.75">
      <c r="C986" s="28"/>
    </row>
    <row r="987" ht="12.75">
      <c r="C987" s="28"/>
    </row>
    <row r="988" ht="12.75">
      <c r="C988" s="28"/>
    </row>
    <row r="989" ht="12.75">
      <c r="C989" s="26"/>
    </row>
    <row r="990" ht="12.75">
      <c r="C990" s="28"/>
    </row>
    <row r="991" ht="12.75">
      <c r="C991" s="28"/>
    </row>
    <row r="992" ht="12.75">
      <c r="C992" s="28"/>
    </row>
    <row r="993" ht="12.75">
      <c r="C993" s="28"/>
    </row>
    <row r="994" ht="12.75">
      <c r="C994" s="28"/>
    </row>
    <row r="995" ht="12.75">
      <c r="C995" s="28"/>
    </row>
    <row r="996" ht="12.75">
      <c r="C996" s="28"/>
    </row>
    <row r="997" ht="12.75">
      <c r="C997" s="28"/>
    </row>
    <row r="998" ht="12.75">
      <c r="C998" s="28"/>
    </row>
    <row r="999" ht="12.75">
      <c r="C999" s="28"/>
    </row>
    <row r="1000" ht="12.75">
      <c r="C1000" s="28"/>
    </row>
    <row r="1001" ht="12.75">
      <c r="C1001" s="28"/>
    </row>
    <row r="1002" ht="12.75">
      <c r="C1002" s="28"/>
    </row>
    <row r="1003" ht="12.75">
      <c r="C1003" s="26"/>
    </row>
    <row r="1004" ht="12.75">
      <c r="C1004" s="28"/>
    </row>
    <row r="1005" ht="12.75">
      <c r="C1005" s="28"/>
    </row>
    <row r="1006" ht="12.75">
      <c r="C1006" s="28"/>
    </row>
    <row r="1007" ht="12.75">
      <c r="C1007" s="28"/>
    </row>
    <row r="1008" ht="12.75">
      <c r="C1008" s="28"/>
    </row>
    <row r="1009" ht="12.75">
      <c r="C1009" s="28"/>
    </row>
    <row r="1010" ht="12.75">
      <c r="C1010" s="28"/>
    </row>
    <row r="1011" ht="12.75">
      <c r="C1011" s="28"/>
    </row>
    <row r="1012" ht="12.75">
      <c r="C1012" s="28"/>
    </row>
    <row r="1013" ht="12.75">
      <c r="C1013" s="28"/>
    </row>
    <row r="1014" ht="12.75">
      <c r="C1014" s="28"/>
    </row>
    <row r="1015" ht="12.75">
      <c r="C1015" s="28"/>
    </row>
    <row r="1016" ht="12.75">
      <c r="C1016" s="28"/>
    </row>
    <row r="1017" ht="12.75">
      <c r="C1017" s="26"/>
    </row>
    <row r="1018" ht="12.75">
      <c r="C1018" s="28"/>
    </row>
    <row r="1019" ht="12.75">
      <c r="C1019" s="26"/>
    </row>
    <row r="1020" ht="12.75">
      <c r="C1020" s="26"/>
    </row>
    <row r="1021" ht="12.75">
      <c r="C1021" s="28"/>
    </row>
    <row r="1022" ht="12.75">
      <c r="C1022" s="28"/>
    </row>
    <row r="1023" ht="12.75">
      <c r="C1023" s="26"/>
    </row>
    <row r="1024" ht="12.75">
      <c r="C1024" s="26"/>
    </row>
    <row r="1025" ht="12.75">
      <c r="C1025" s="26"/>
    </row>
    <row r="1026" ht="12.75">
      <c r="C1026" s="26"/>
    </row>
    <row r="1027" ht="12.75">
      <c r="C1027" s="26"/>
    </row>
    <row r="1028" ht="12.75">
      <c r="C1028" s="26"/>
    </row>
    <row r="1029" ht="12.75">
      <c r="C1029" s="26"/>
    </row>
    <row r="1030" ht="12.75">
      <c r="C1030" s="26"/>
    </row>
    <row r="1031" ht="12.75">
      <c r="C1031" s="26"/>
    </row>
    <row r="1032" ht="12.75">
      <c r="C1032" s="26"/>
    </row>
    <row r="1033" ht="12.75">
      <c r="C1033" s="26"/>
    </row>
    <row r="1034" ht="12.75">
      <c r="C1034" s="26"/>
    </row>
    <row r="1035" ht="12.75">
      <c r="C1035" s="26"/>
    </row>
    <row r="1036" ht="12.75">
      <c r="C1036" s="26"/>
    </row>
    <row r="1037" ht="12.75">
      <c r="C1037" s="26"/>
    </row>
    <row r="1038" ht="12.75">
      <c r="C1038" s="26"/>
    </row>
    <row r="1039" ht="12.75">
      <c r="C1039" s="28"/>
    </row>
    <row r="1040" ht="12.75">
      <c r="C1040" s="26"/>
    </row>
    <row r="1041" ht="12.75">
      <c r="C1041" s="26"/>
    </row>
    <row r="1042" ht="12.75">
      <c r="C1042" s="26"/>
    </row>
    <row r="1043" ht="12.75">
      <c r="C1043" s="28"/>
    </row>
    <row r="1044" ht="12.75">
      <c r="C1044" s="28"/>
    </row>
    <row r="1045" ht="12.75">
      <c r="C1045" s="26"/>
    </row>
    <row r="1046" ht="12.75">
      <c r="C1046" s="26"/>
    </row>
    <row r="1047" ht="12.75">
      <c r="C1047" s="26"/>
    </row>
    <row r="1048" ht="12.75">
      <c r="C1048" s="26"/>
    </row>
    <row r="1049" ht="12.75">
      <c r="C1049" s="26"/>
    </row>
    <row r="1050" ht="12.75">
      <c r="C1050" s="26"/>
    </row>
    <row r="1051" ht="12.75">
      <c r="C1051" s="26"/>
    </row>
    <row r="1052" ht="12.75">
      <c r="C1052" s="26"/>
    </row>
    <row r="1053" ht="12.75">
      <c r="C1053" s="26"/>
    </row>
    <row r="1054" ht="12.75">
      <c r="C1054" s="26"/>
    </row>
    <row r="1055" ht="12.75">
      <c r="C1055" s="26"/>
    </row>
    <row r="1056" ht="12.75">
      <c r="C1056" s="26"/>
    </row>
    <row r="1057" ht="12.75">
      <c r="C1057" s="26"/>
    </row>
    <row r="1058" ht="12.75">
      <c r="C1058" s="26"/>
    </row>
    <row r="1059" ht="12.75">
      <c r="C1059" s="26"/>
    </row>
    <row r="1060" ht="12.75">
      <c r="C1060" s="26"/>
    </row>
    <row r="1061" ht="12.75">
      <c r="C1061" s="26"/>
    </row>
    <row r="1062" ht="12.75">
      <c r="C1062" s="26"/>
    </row>
    <row r="1063" ht="12.75">
      <c r="C1063" s="26"/>
    </row>
    <row r="1064" ht="12.75">
      <c r="C1064" s="26"/>
    </row>
    <row r="1065" ht="12.75">
      <c r="C1065" s="26"/>
    </row>
    <row r="1066" ht="12.75">
      <c r="C1066" s="26"/>
    </row>
    <row r="1067" ht="12.75">
      <c r="C1067" s="26"/>
    </row>
    <row r="1068" ht="12.75">
      <c r="C1068" s="26"/>
    </row>
    <row r="1069" ht="12.75">
      <c r="C1069" s="26"/>
    </row>
    <row r="1070" ht="12.75">
      <c r="C1070" s="26"/>
    </row>
    <row r="1071" ht="12.75">
      <c r="C1071" s="26"/>
    </row>
    <row r="1072" ht="12.75">
      <c r="C1072" s="26"/>
    </row>
    <row r="1073" ht="12.75">
      <c r="C1073" s="26"/>
    </row>
    <row r="1074" ht="12.75">
      <c r="C1074" s="26"/>
    </row>
    <row r="1075" ht="12.75">
      <c r="C1075" s="26"/>
    </row>
    <row r="1076" ht="12.75">
      <c r="C1076" s="26"/>
    </row>
    <row r="1077" ht="12.75">
      <c r="C1077" s="26"/>
    </row>
    <row r="1078" ht="12.75">
      <c r="C1078" s="26"/>
    </row>
    <row r="1079" ht="12.75">
      <c r="C1079" s="26"/>
    </row>
    <row r="1080" ht="12.75">
      <c r="C1080" s="26"/>
    </row>
    <row r="1081" ht="12.75">
      <c r="C1081" s="26"/>
    </row>
    <row r="1082" ht="12.75">
      <c r="C1082" s="26"/>
    </row>
    <row r="1083" ht="12.75">
      <c r="C1083" s="26"/>
    </row>
    <row r="1084" ht="12.75">
      <c r="C1084" s="26"/>
    </row>
    <row r="1085" ht="12.75">
      <c r="C1085" s="26"/>
    </row>
    <row r="1086" ht="12.75">
      <c r="C1086" s="26"/>
    </row>
    <row r="1087" ht="12.75">
      <c r="C1087" s="26"/>
    </row>
    <row r="1088" ht="12.75">
      <c r="C1088" s="26"/>
    </row>
    <row r="1089" ht="12.75">
      <c r="C1089" s="26"/>
    </row>
    <row r="1090" ht="12.75">
      <c r="C1090" s="26"/>
    </row>
    <row r="1091" ht="12.75">
      <c r="C1091" s="26"/>
    </row>
    <row r="1092" ht="12.75">
      <c r="C1092" s="26"/>
    </row>
    <row r="1093" ht="12.75">
      <c r="C1093" s="26"/>
    </row>
    <row r="1094" ht="12.75">
      <c r="C1094" s="26"/>
    </row>
    <row r="1095" ht="12.75">
      <c r="C1095" s="26"/>
    </row>
    <row r="1096" ht="12.75">
      <c r="C1096" s="26"/>
    </row>
    <row r="1097" ht="12.75">
      <c r="C1097" s="26"/>
    </row>
    <row r="1098" ht="12.75">
      <c r="C1098" s="26"/>
    </row>
    <row r="1099" ht="12.75">
      <c r="C1099" s="26"/>
    </row>
    <row r="1100" ht="12.75">
      <c r="C1100" s="26"/>
    </row>
    <row r="1101" ht="12.75">
      <c r="C1101" s="26"/>
    </row>
    <row r="1102" ht="12.75">
      <c r="C1102" s="26"/>
    </row>
    <row r="1103" ht="12.75">
      <c r="C1103" s="26"/>
    </row>
    <row r="1104" ht="12.75">
      <c r="C1104" s="26"/>
    </row>
    <row r="1105" ht="12.75">
      <c r="C1105" s="26"/>
    </row>
    <row r="1106" ht="12.75">
      <c r="C1106" s="26"/>
    </row>
    <row r="1107" ht="12.75">
      <c r="C1107" s="26"/>
    </row>
    <row r="1108" ht="12.75">
      <c r="C1108" s="26"/>
    </row>
    <row r="1109" ht="12.75">
      <c r="C1109" s="26"/>
    </row>
    <row r="1110" ht="12.75">
      <c r="C1110" s="26"/>
    </row>
    <row r="1111" ht="12.75">
      <c r="C1111" s="28"/>
    </row>
    <row r="1112" ht="12.75">
      <c r="C1112" s="26"/>
    </row>
    <row r="1113" ht="12.75">
      <c r="C1113" s="26"/>
    </row>
    <row r="1114" ht="12.75">
      <c r="C1114" s="26"/>
    </row>
    <row r="1115" ht="12.75">
      <c r="C1115" s="26"/>
    </row>
    <row r="1116" ht="12.75">
      <c r="C1116" s="28"/>
    </row>
    <row r="1117" ht="12.75">
      <c r="C1117" s="28"/>
    </row>
    <row r="1118" ht="12.75">
      <c r="C1118" s="28"/>
    </row>
    <row r="1119" ht="12.75">
      <c r="C1119" s="28"/>
    </row>
    <row r="1120" ht="12.75">
      <c r="C1120" s="28"/>
    </row>
    <row r="1121" ht="12.75">
      <c r="C1121" s="28"/>
    </row>
    <row r="1122" ht="12.75">
      <c r="C1122" s="28"/>
    </row>
    <row r="1123" ht="12.75">
      <c r="C1123" s="28"/>
    </row>
    <row r="1124" ht="12.75">
      <c r="C1124" s="28"/>
    </row>
    <row r="1125" ht="12.75">
      <c r="C1125" s="28"/>
    </row>
    <row r="1126" ht="12.75">
      <c r="C1126" s="28"/>
    </row>
    <row r="1127" ht="12.75">
      <c r="C1127" s="28"/>
    </row>
    <row r="1128" ht="12.75">
      <c r="C1128" s="28"/>
    </row>
    <row r="1129" ht="12.75">
      <c r="C1129" s="26"/>
    </row>
    <row r="1130" ht="12.75">
      <c r="C1130" s="28"/>
    </row>
    <row r="1131" ht="12.75">
      <c r="C1131" s="28"/>
    </row>
    <row r="1132" ht="12.75">
      <c r="C1132" s="28"/>
    </row>
    <row r="1133" ht="12.75">
      <c r="C1133" s="28"/>
    </row>
    <row r="1134" ht="12.75">
      <c r="C1134" s="28"/>
    </row>
    <row r="1135" ht="12.75">
      <c r="C1135" s="28"/>
    </row>
    <row r="1136" ht="12.75">
      <c r="C1136" s="28"/>
    </row>
    <row r="1137" ht="12.75">
      <c r="C1137" s="28"/>
    </row>
    <row r="1138" ht="12.75">
      <c r="C1138" s="28"/>
    </row>
    <row r="1139" ht="12.75">
      <c r="C1139" s="28"/>
    </row>
    <row r="1140" ht="12.75">
      <c r="C1140" s="28"/>
    </row>
    <row r="1141" ht="12.75">
      <c r="C1141" s="28"/>
    </row>
    <row r="1142" ht="12.75">
      <c r="C1142" s="28"/>
    </row>
    <row r="1143" ht="12.75">
      <c r="C1143" s="26"/>
    </row>
    <row r="1144" ht="12.75">
      <c r="C1144" s="28"/>
    </row>
    <row r="1145" ht="12.75">
      <c r="C1145" s="28"/>
    </row>
    <row r="1146" ht="12.75">
      <c r="C1146" s="28"/>
    </row>
    <row r="1147" ht="12.75">
      <c r="C1147" s="28"/>
    </row>
    <row r="1148" ht="12.75">
      <c r="C1148" s="28"/>
    </row>
    <row r="1149" ht="12.75">
      <c r="C1149" s="28"/>
    </row>
    <row r="1150" ht="12.75">
      <c r="C1150" s="28"/>
    </row>
    <row r="1151" ht="12.75">
      <c r="C1151" s="28"/>
    </row>
    <row r="1152" ht="12.75">
      <c r="C1152" s="28"/>
    </row>
    <row r="1153" ht="12.75">
      <c r="C1153" s="28"/>
    </row>
    <row r="1154" ht="12.75">
      <c r="C1154" s="26"/>
    </row>
    <row r="1155" ht="12.75">
      <c r="C1155" s="26"/>
    </row>
    <row r="1156" ht="12.75">
      <c r="C1156" s="26"/>
    </row>
    <row r="1157" ht="12.75">
      <c r="C1157" s="26"/>
    </row>
    <row r="1158" ht="12.75">
      <c r="C1158" s="26"/>
    </row>
    <row r="1159" ht="12.75">
      <c r="C1159" s="26"/>
    </row>
    <row r="1160" ht="12.75">
      <c r="C1160" s="26"/>
    </row>
    <row r="1161" ht="12.75">
      <c r="C1161" s="26"/>
    </row>
    <row r="1162" ht="12.75">
      <c r="C1162" s="26"/>
    </row>
    <row r="1163" ht="12.75">
      <c r="C1163" s="26"/>
    </row>
    <row r="1164" ht="12.75">
      <c r="C1164" s="26"/>
    </row>
    <row r="1165" ht="12.75">
      <c r="C1165" s="26"/>
    </row>
    <row r="1166" ht="12.75">
      <c r="C1166" s="26"/>
    </row>
    <row r="1167" ht="12.75">
      <c r="C1167" s="26"/>
    </row>
    <row r="1168" ht="12.75">
      <c r="C1168" s="26"/>
    </row>
    <row r="1169" ht="12.75">
      <c r="C1169" s="26"/>
    </row>
    <row r="1170" ht="12.75">
      <c r="C1170" s="26"/>
    </row>
    <row r="1171" ht="12.75">
      <c r="C1171" s="26"/>
    </row>
    <row r="1172" ht="12.75">
      <c r="C1172" s="26"/>
    </row>
    <row r="1173" ht="12.75">
      <c r="C1173" s="26"/>
    </row>
    <row r="1174" ht="12.75">
      <c r="C1174" s="26"/>
    </row>
    <row r="1175" ht="12.75">
      <c r="C1175" s="26"/>
    </row>
    <row r="1176" ht="12.75">
      <c r="C1176" s="26"/>
    </row>
    <row r="1177" ht="12.75">
      <c r="C1177" s="26"/>
    </row>
    <row r="1178" ht="12.75">
      <c r="C1178" s="26"/>
    </row>
    <row r="1179" ht="12.75">
      <c r="C1179" s="26"/>
    </row>
    <row r="1180" ht="12.75">
      <c r="C1180" s="26"/>
    </row>
    <row r="1181" ht="12.75">
      <c r="C1181" s="26"/>
    </row>
    <row r="1182" ht="12.75">
      <c r="C1182" s="26"/>
    </row>
    <row r="1183" ht="12.75">
      <c r="C1183" s="26"/>
    </row>
    <row r="1184" ht="12.75">
      <c r="C1184" s="26"/>
    </row>
    <row r="1185" ht="12.75">
      <c r="C1185" s="26"/>
    </row>
    <row r="1186" ht="12.75">
      <c r="C1186" s="26"/>
    </row>
    <row r="1187" ht="12.75">
      <c r="C1187" s="26"/>
    </row>
    <row r="1188" ht="12.75">
      <c r="C1188" s="26"/>
    </row>
    <row r="1189" ht="12.75">
      <c r="C1189" s="26"/>
    </row>
    <row r="1190" ht="12.75">
      <c r="C1190" s="26"/>
    </row>
    <row r="1191" ht="12.75">
      <c r="C1191" s="26"/>
    </row>
    <row r="1192" ht="12.75">
      <c r="C1192" s="28"/>
    </row>
    <row r="1193" ht="12.75">
      <c r="C1193" s="26"/>
    </row>
    <row r="1194" ht="12.75">
      <c r="C1194" s="26"/>
    </row>
    <row r="1195" ht="12.75">
      <c r="C1195" s="26"/>
    </row>
    <row r="1196" ht="12.75">
      <c r="C1196" s="26"/>
    </row>
    <row r="1197" ht="12.75">
      <c r="C1197" s="26"/>
    </row>
    <row r="1198" ht="12.75">
      <c r="C1198" s="26"/>
    </row>
    <row r="1199" ht="12.75">
      <c r="C1199" s="26"/>
    </row>
    <row r="1200" ht="12.75">
      <c r="C1200" s="26"/>
    </row>
    <row r="1201" ht="12.75">
      <c r="C1201" s="26"/>
    </row>
    <row r="1202" ht="12.75">
      <c r="C1202" s="26"/>
    </row>
    <row r="1203" ht="12.75">
      <c r="C1203" s="26"/>
    </row>
    <row r="1204" ht="12.75">
      <c r="C1204" s="26"/>
    </row>
    <row r="1205" ht="12.75">
      <c r="C1205" s="26"/>
    </row>
    <row r="1206" ht="12.75">
      <c r="C1206" s="26"/>
    </row>
    <row r="1207" ht="12.75">
      <c r="C1207" s="26"/>
    </row>
    <row r="1208" ht="12.75">
      <c r="C1208" s="26"/>
    </row>
    <row r="1209" ht="12.75">
      <c r="C1209" s="26"/>
    </row>
    <row r="1210" ht="12.75">
      <c r="C1210" s="26"/>
    </row>
    <row r="1211" ht="12.75">
      <c r="C1211" s="26"/>
    </row>
    <row r="1212" ht="12.75">
      <c r="C1212" s="26"/>
    </row>
    <row r="1213" ht="12.75">
      <c r="C1213" s="26"/>
    </row>
    <row r="1214" ht="12.75">
      <c r="C1214" s="26"/>
    </row>
    <row r="1215" ht="12.75">
      <c r="C1215" s="26"/>
    </row>
    <row r="1216" ht="12.75">
      <c r="C1216" s="28"/>
    </row>
    <row r="1217" ht="12.75">
      <c r="C1217" s="26"/>
    </row>
    <row r="1218" ht="12.75">
      <c r="C1218" s="26"/>
    </row>
    <row r="1219" ht="12.75">
      <c r="C1219" s="26"/>
    </row>
    <row r="1220" ht="12.75">
      <c r="C1220" s="28"/>
    </row>
    <row r="1221" ht="12.75">
      <c r="C1221" s="26"/>
    </row>
    <row r="1222" ht="12.75">
      <c r="C1222" s="26"/>
    </row>
    <row r="1223" ht="12.75">
      <c r="C1223" s="26"/>
    </row>
    <row r="1224" ht="12.75">
      <c r="C1224" s="26"/>
    </row>
    <row r="1225" ht="12.75">
      <c r="C1225" s="26"/>
    </row>
    <row r="1226" ht="12.75">
      <c r="C1226" s="26"/>
    </row>
    <row r="1227" ht="12.75">
      <c r="C1227" s="26"/>
    </row>
    <row r="1228" ht="12.75">
      <c r="C1228" s="26"/>
    </row>
    <row r="1229" ht="12.75">
      <c r="C1229" s="26"/>
    </row>
    <row r="1230" ht="12.75">
      <c r="C1230" s="26"/>
    </row>
    <row r="1231" ht="12.75">
      <c r="C1231" s="26"/>
    </row>
    <row r="1232" ht="12.75">
      <c r="C1232" s="26"/>
    </row>
    <row r="1233" ht="12.75">
      <c r="C1233" s="26"/>
    </row>
    <row r="1234" ht="12.75">
      <c r="C1234" s="26"/>
    </row>
    <row r="1235" ht="12.75">
      <c r="C1235" s="26"/>
    </row>
    <row r="1236" ht="12.75">
      <c r="C1236" s="26"/>
    </row>
    <row r="1237" ht="12.75">
      <c r="C1237" s="26"/>
    </row>
    <row r="1238" ht="12.75">
      <c r="C1238" s="26"/>
    </row>
    <row r="1239" ht="12.75">
      <c r="C1239" s="26"/>
    </row>
    <row r="1240" ht="12.75">
      <c r="C1240" s="26"/>
    </row>
    <row r="1241" ht="12.75">
      <c r="C1241" s="26"/>
    </row>
    <row r="1242" ht="12.75">
      <c r="C1242" s="26"/>
    </row>
    <row r="1243" ht="12.75">
      <c r="C1243" s="26"/>
    </row>
    <row r="1244" ht="12.75">
      <c r="C1244" s="26"/>
    </row>
    <row r="1245" ht="12.75">
      <c r="C1245" s="26"/>
    </row>
    <row r="1246" ht="12.75">
      <c r="C1246" s="26"/>
    </row>
    <row r="1247" ht="12.75">
      <c r="C1247" s="26"/>
    </row>
    <row r="1248" ht="12.75">
      <c r="C1248" s="26"/>
    </row>
    <row r="1249" ht="12.75">
      <c r="C1249" s="26"/>
    </row>
    <row r="1250" ht="12.75">
      <c r="C1250" s="26"/>
    </row>
    <row r="1251" ht="12.75">
      <c r="C1251" s="26"/>
    </row>
    <row r="1252" ht="12.75">
      <c r="C1252" s="26"/>
    </row>
    <row r="1253" ht="12.75">
      <c r="C1253" s="26"/>
    </row>
    <row r="1254" ht="12.75">
      <c r="C1254" s="26"/>
    </row>
    <row r="1255" ht="12.75">
      <c r="C1255" s="26"/>
    </row>
    <row r="1256" ht="12.75">
      <c r="C1256" s="26"/>
    </row>
    <row r="1257" ht="12.75">
      <c r="C1257" s="26"/>
    </row>
    <row r="1258" ht="12.75">
      <c r="C1258" s="26"/>
    </row>
    <row r="1259" ht="12.75">
      <c r="C1259" s="26"/>
    </row>
    <row r="1260" ht="12.75">
      <c r="C1260" s="26"/>
    </row>
    <row r="1261" ht="12.75">
      <c r="C1261" s="26"/>
    </row>
    <row r="1262" ht="12.75">
      <c r="C1262" s="26"/>
    </row>
    <row r="1263" ht="12.75">
      <c r="C1263" s="26"/>
    </row>
    <row r="1264" ht="12.75">
      <c r="C1264" s="26"/>
    </row>
    <row r="1265" ht="12.75">
      <c r="C1265" s="26"/>
    </row>
    <row r="1266" ht="12.75">
      <c r="C1266" s="26"/>
    </row>
    <row r="1267" ht="12.75">
      <c r="C1267" s="26"/>
    </row>
    <row r="1268" ht="12.75">
      <c r="C1268" s="26"/>
    </row>
    <row r="1269" ht="12.75">
      <c r="C1269" s="26"/>
    </row>
    <row r="1270" ht="12.75">
      <c r="C1270" s="26"/>
    </row>
    <row r="1271" ht="12.75">
      <c r="C1271" s="28"/>
    </row>
    <row r="1272" ht="12.75">
      <c r="C1272" s="28"/>
    </row>
    <row r="1273" ht="12.75">
      <c r="C1273" s="26"/>
    </row>
    <row r="1274" ht="12.75">
      <c r="C1274" s="26"/>
    </row>
    <row r="1275" ht="12.75">
      <c r="C1275" s="28"/>
    </row>
    <row r="1276" ht="12.75">
      <c r="C1276" s="28"/>
    </row>
    <row r="1277" ht="12.75">
      <c r="C1277" s="26"/>
    </row>
    <row r="1278" ht="12.75">
      <c r="C1278" s="28"/>
    </row>
    <row r="1279" ht="12.75">
      <c r="C1279" s="28"/>
    </row>
    <row r="1280" ht="12.75">
      <c r="C1280" s="30"/>
    </row>
    <row r="1281" ht="12.75">
      <c r="C1281" s="30"/>
    </row>
    <row r="1282" ht="12.75">
      <c r="C1282" s="31"/>
    </row>
  </sheetData>
  <sheetProtection/>
  <mergeCells count="3">
    <mergeCell ref="A1:A2"/>
    <mergeCell ref="B1:B2"/>
    <mergeCell ref="C1:C2"/>
  </mergeCells>
  <printOptions horizontalCentered="1"/>
  <pageMargins left="0.7480314960629921" right="0.7480314960629921" top="2.0078740157480315" bottom="0.984251968503937" header="0.1968503937007874" footer="0"/>
  <pageSetup fitToHeight="2" fitToWidth="1" horizontalDpi="600" verticalDpi="600" orientation="landscape" r:id="rId3"/>
  <headerFooter alignWithMargins="0">
    <oddHeader>&amp;L&amp;G&amp;C
&amp;"Arial,Negrita"GOBIERNO DEL ESTADO DE SONORA
DIRECCIÓN DE CRÉDITO PÚBLICO
ENDEUDAMIENTO MUNICIPIOS SEPTIEMBRE 2016
</oddHeader>
    <oddFooter>&amp;CPágina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Usuario</cp:lastModifiedBy>
  <cp:lastPrinted>2016-10-17T19:41:12Z</cp:lastPrinted>
  <dcterms:created xsi:type="dcterms:W3CDTF">2015-08-17T19:36:42Z</dcterms:created>
  <dcterms:modified xsi:type="dcterms:W3CDTF">2016-11-03T23:08:20Z</dcterms:modified>
  <cp:category/>
  <cp:version/>
  <cp:contentType/>
  <cp:contentStatus/>
</cp:coreProperties>
</file>