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\Desktop\Hacienda\Portal Finanzas Públicas\2015 Inf Contable, Presupuestaria, Deuda Pública\"/>
    </mc:Choice>
  </mc:AlternateContent>
  <bookViews>
    <workbookView xWindow="0" yWindow="0" windowWidth="20490" windowHeight="7755"/>
  </bookViews>
  <sheets>
    <sheet name="Gasto POG" sheetId="5" r:id="rId1"/>
    <sheet name="Gasto CE" sheetId="6" r:id="rId2"/>
    <sheet name="Gasto CA" sheetId="7" r:id="rId3"/>
    <sheet name="Gasto CF" sheetId="8" r:id="rId4"/>
    <sheet name="fuente1" sheetId="2" state="hidden" r:id="rId5"/>
    <sheet name="BExRepositorySheet" sheetId="4" state="veryHidden" r:id="rId6"/>
    <sheet name="fuente2" sheetId="3" state="hidden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F40" i="8" l="1"/>
  <c r="I40" i="8" s="1"/>
  <c r="F39" i="8"/>
  <c r="I39" i="8" s="1"/>
  <c r="F38" i="8"/>
  <c r="I38" i="8" s="1"/>
  <c r="H37" i="8"/>
  <c r="G37" i="8"/>
  <c r="F37" i="8"/>
  <c r="I37" i="8" s="1"/>
  <c r="E37" i="8"/>
  <c r="D37" i="8"/>
  <c r="F36" i="8"/>
  <c r="I36" i="8" s="1"/>
  <c r="F35" i="8"/>
  <c r="I35" i="8" s="1"/>
  <c r="F34" i="8"/>
  <c r="I34" i="8" s="1"/>
  <c r="F33" i="8"/>
  <c r="I33" i="8" s="1"/>
  <c r="F32" i="8"/>
  <c r="I32" i="8" s="1"/>
  <c r="E31" i="8"/>
  <c r="F31" i="8" s="1"/>
  <c r="I31" i="8" s="1"/>
  <c r="E30" i="8"/>
  <c r="F30" i="8" s="1"/>
  <c r="I30" i="8" s="1"/>
  <c r="F29" i="8"/>
  <c r="I29" i="8" s="1"/>
  <c r="F28" i="8"/>
  <c r="I28" i="8" s="1"/>
  <c r="H27" i="8"/>
  <c r="G27" i="8"/>
  <c r="E27" i="8"/>
  <c r="D27" i="8"/>
  <c r="F27" i="8" s="1"/>
  <c r="I27" i="8" s="1"/>
  <c r="F26" i="8"/>
  <c r="I26" i="8" s="1"/>
  <c r="F25" i="8"/>
  <c r="I25" i="8" s="1"/>
  <c r="F24" i="8"/>
  <c r="I24" i="8" s="1"/>
  <c r="F23" i="8"/>
  <c r="I23" i="8" s="1"/>
  <c r="E23" i="8"/>
  <c r="F22" i="8"/>
  <c r="I22" i="8" s="1"/>
  <c r="I21" i="8"/>
  <c r="F21" i="8"/>
  <c r="F20" i="8"/>
  <c r="I20" i="8" s="1"/>
  <c r="H19" i="8"/>
  <c r="G19" i="8"/>
  <c r="E19" i="8"/>
  <c r="F19" i="8" s="1"/>
  <c r="I19" i="8" s="1"/>
  <c r="D19" i="8"/>
  <c r="F18" i="8"/>
  <c r="I18" i="8" s="1"/>
  <c r="I17" i="8"/>
  <c r="F17" i="8"/>
  <c r="F16" i="8"/>
  <c r="I16" i="8" s="1"/>
  <c r="I15" i="8"/>
  <c r="F15" i="8"/>
  <c r="F14" i="8"/>
  <c r="I14" i="8" s="1"/>
  <c r="I13" i="8"/>
  <c r="F13" i="8"/>
  <c r="H12" i="8"/>
  <c r="H41" i="8" s="1"/>
  <c r="G12" i="8"/>
  <c r="G41" i="8" s="1"/>
  <c r="E12" i="8"/>
  <c r="E41" i="8" s="1"/>
  <c r="D12" i="8"/>
  <c r="F12" i="8" s="1"/>
  <c r="I12" i="8" s="1"/>
  <c r="A7" i="8"/>
  <c r="G1" i="8"/>
  <c r="I1" i="8" s="1"/>
  <c r="F1" i="8"/>
  <c r="H1" i="8" s="1"/>
  <c r="D41" i="8" l="1"/>
  <c r="F41" i="8" s="1"/>
  <c r="I41" i="8" s="1"/>
  <c r="G40" i="7" l="1"/>
  <c r="F40" i="7"/>
  <c r="C40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D30" i="7"/>
  <c r="E30" i="7" s="1"/>
  <c r="H30" i="7" s="1"/>
  <c r="H29" i="7"/>
  <c r="E29" i="7"/>
  <c r="E28" i="7"/>
  <c r="H28" i="7" s="1"/>
  <c r="H27" i="7"/>
  <c r="E27" i="7"/>
  <c r="D26" i="7"/>
  <c r="E26" i="7" s="1"/>
  <c r="H26" i="7" s="1"/>
  <c r="E25" i="7"/>
  <c r="H25" i="7" s="1"/>
  <c r="E24" i="7"/>
  <c r="H24" i="7" s="1"/>
  <c r="D24" i="7"/>
  <c r="E23" i="7"/>
  <c r="H23" i="7" s="1"/>
  <c r="H22" i="7"/>
  <c r="E22" i="7"/>
  <c r="E21" i="7"/>
  <c r="H21" i="7" s="1"/>
  <c r="H20" i="7"/>
  <c r="E20" i="7"/>
  <c r="D19" i="7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E12" i="7"/>
  <c r="H12" i="7" s="1"/>
  <c r="A7" i="7"/>
  <c r="F1" i="7"/>
  <c r="H1" i="7" s="1"/>
  <c r="E1" i="7"/>
  <c r="G1" i="7" s="1"/>
  <c r="D40" i="7" l="1"/>
  <c r="E19" i="7"/>
  <c r="H19" i="7" s="1"/>
  <c r="H40" i="7" s="1"/>
  <c r="E40" i="7" l="1"/>
  <c r="H24" i="6" l="1"/>
  <c r="G24" i="6"/>
  <c r="E24" i="6"/>
  <c r="D24" i="6"/>
  <c r="F16" i="6"/>
  <c r="I16" i="6" s="1"/>
  <c r="F14" i="6"/>
  <c r="I14" i="6" s="1"/>
  <c r="F12" i="6"/>
  <c r="I12" i="6" s="1"/>
  <c r="I24" i="6" s="1"/>
  <c r="A7" i="6"/>
  <c r="I1" i="6"/>
  <c r="H1" i="6"/>
  <c r="G1" i="6"/>
  <c r="F1" i="6"/>
  <c r="F24" i="6" l="1"/>
  <c r="J1" i="6"/>
  <c r="A6" i="6" s="1"/>
  <c r="F82" i="5" l="1"/>
  <c r="I82" i="5" s="1"/>
  <c r="F81" i="5"/>
  <c r="I81" i="5" s="1"/>
  <c r="F80" i="5"/>
  <c r="I80" i="5" s="1"/>
  <c r="F79" i="5"/>
  <c r="I79" i="5" s="1"/>
  <c r="F78" i="5"/>
  <c r="I78" i="5" s="1"/>
  <c r="F77" i="5"/>
  <c r="I77" i="5" s="1"/>
  <c r="F76" i="5"/>
  <c r="I76" i="5" s="1"/>
  <c r="H75" i="5"/>
  <c r="G75" i="5"/>
  <c r="F75" i="5"/>
  <c r="I75" i="5" s="1"/>
  <c r="E75" i="5"/>
  <c r="D75" i="5"/>
  <c r="F74" i="5"/>
  <c r="I74" i="5" s="1"/>
  <c r="F73" i="5"/>
  <c r="I73" i="5" s="1"/>
  <c r="F72" i="5"/>
  <c r="I72" i="5" s="1"/>
  <c r="H71" i="5"/>
  <c r="G71" i="5"/>
  <c r="F71" i="5"/>
  <c r="I71" i="5" s="1"/>
  <c r="E71" i="5"/>
  <c r="D71" i="5"/>
  <c r="F70" i="5"/>
  <c r="I70" i="5" s="1"/>
  <c r="F69" i="5"/>
  <c r="I69" i="5" s="1"/>
  <c r="F68" i="5"/>
  <c r="I68" i="5" s="1"/>
  <c r="F67" i="5"/>
  <c r="I67" i="5" s="1"/>
  <c r="F66" i="5"/>
  <c r="I66" i="5" s="1"/>
  <c r="F65" i="5"/>
  <c r="I65" i="5" s="1"/>
  <c r="F64" i="5"/>
  <c r="I64" i="5" s="1"/>
  <c r="E63" i="5"/>
  <c r="D63" i="5"/>
  <c r="F63" i="5" s="1"/>
  <c r="I63" i="5" s="1"/>
  <c r="F62" i="5"/>
  <c r="I62" i="5" s="1"/>
  <c r="F61" i="5"/>
  <c r="I61" i="5" s="1"/>
  <c r="F60" i="5"/>
  <c r="I60" i="5" s="1"/>
  <c r="H59" i="5"/>
  <c r="G59" i="5"/>
  <c r="E59" i="5"/>
  <c r="D59" i="5"/>
  <c r="F59" i="5" s="1"/>
  <c r="I59" i="5" s="1"/>
  <c r="F58" i="5"/>
  <c r="I58" i="5" s="1"/>
  <c r="F57" i="5"/>
  <c r="I57" i="5" s="1"/>
  <c r="F56" i="5"/>
  <c r="I56" i="5" s="1"/>
  <c r="F55" i="5"/>
  <c r="I55" i="5" s="1"/>
  <c r="F54" i="5"/>
  <c r="I54" i="5" s="1"/>
  <c r="F53" i="5"/>
  <c r="I53" i="5" s="1"/>
  <c r="F52" i="5"/>
  <c r="I52" i="5" s="1"/>
  <c r="F51" i="5"/>
  <c r="I51" i="5" s="1"/>
  <c r="F50" i="5"/>
  <c r="I50" i="5" s="1"/>
  <c r="H49" i="5"/>
  <c r="G49" i="5"/>
  <c r="E49" i="5"/>
  <c r="D49" i="5"/>
  <c r="F49" i="5" s="1"/>
  <c r="I49" i="5" s="1"/>
  <c r="F48" i="5"/>
  <c r="I48" i="5" s="1"/>
  <c r="F47" i="5"/>
  <c r="I47" i="5" s="1"/>
  <c r="F46" i="5"/>
  <c r="I46" i="5" s="1"/>
  <c r="F45" i="5"/>
  <c r="I45" i="5" s="1"/>
  <c r="F44" i="5"/>
  <c r="I44" i="5" s="1"/>
  <c r="F43" i="5"/>
  <c r="I43" i="5" s="1"/>
  <c r="E43" i="5"/>
  <c r="I42" i="5"/>
  <c r="F42" i="5"/>
  <c r="E41" i="5"/>
  <c r="F41" i="5" s="1"/>
  <c r="I41" i="5" s="1"/>
  <c r="F40" i="5"/>
  <c r="I40" i="5" s="1"/>
  <c r="E40" i="5"/>
  <c r="H39" i="5"/>
  <c r="G39" i="5"/>
  <c r="E39" i="5"/>
  <c r="D39" i="5"/>
  <c r="F39" i="5" s="1"/>
  <c r="I39" i="5" s="1"/>
  <c r="I38" i="5"/>
  <c r="F38" i="5"/>
  <c r="I37" i="5"/>
  <c r="F37" i="5"/>
  <c r="I36" i="5"/>
  <c r="F36" i="5"/>
  <c r="I35" i="5"/>
  <c r="F35" i="5"/>
  <c r="I34" i="5"/>
  <c r="F34" i="5"/>
  <c r="I33" i="5"/>
  <c r="F33" i="5"/>
  <c r="I32" i="5"/>
  <c r="F32" i="5"/>
  <c r="I31" i="5"/>
  <c r="F31" i="5"/>
  <c r="I30" i="5"/>
  <c r="F30" i="5"/>
  <c r="H29" i="5"/>
  <c r="G29" i="5"/>
  <c r="E29" i="5"/>
  <c r="D29" i="5"/>
  <c r="F29" i="5" s="1"/>
  <c r="I29" i="5" s="1"/>
  <c r="I28" i="5"/>
  <c r="F28" i="5"/>
  <c r="I27" i="5"/>
  <c r="F27" i="5"/>
  <c r="I26" i="5"/>
  <c r="F26" i="5"/>
  <c r="I25" i="5"/>
  <c r="F25" i="5"/>
  <c r="I24" i="5"/>
  <c r="F24" i="5"/>
  <c r="I23" i="5"/>
  <c r="F23" i="5"/>
  <c r="I22" i="5"/>
  <c r="F22" i="5"/>
  <c r="I21" i="5"/>
  <c r="F21" i="5"/>
  <c r="I20" i="5"/>
  <c r="F20" i="5"/>
  <c r="H19" i="5"/>
  <c r="G19" i="5"/>
  <c r="E19" i="5"/>
  <c r="D19" i="5"/>
  <c r="F19" i="5" s="1"/>
  <c r="I19" i="5" s="1"/>
  <c r="I18" i="5"/>
  <c r="F18" i="5"/>
  <c r="I17" i="5"/>
  <c r="F17" i="5"/>
  <c r="E16" i="5"/>
  <c r="F16" i="5" s="1"/>
  <c r="I16" i="5" s="1"/>
  <c r="F15" i="5"/>
  <c r="I15" i="5" s="1"/>
  <c r="E15" i="5"/>
  <c r="E14" i="5"/>
  <c r="F14" i="5" s="1"/>
  <c r="I14" i="5" s="1"/>
  <c r="F13" i="5"/>
  <c r="I13" i="5" s="1"/>
  <c r="E13" i="5"/>
  <c r="E12" i="5"/>
  <c r="F12" i="5" s="1"/>
  <c r="I12" i="5" s="1"/>
  <c r="H11" i="5"/>
  <c r="H83" i="5" s="1"/>
  <c r="G11" i="5"/>
  <c r="G83" i="5" s="1"/>
  <c r="D11" i="5"/>
  <c r="D83" i="5" s="1"/>
  <c r="A7" i="5"/>
  <c r="G1" i="5"/>
  <c r="I1" i="5" s="1"/>
  <c r="F1" i="5"/>
  <c r="H1" i="5" s="1"/>
  <c r="E11" i="5" l="1"/>
  <c r="E83" i="5" s="1"/>
  <c r="F11" i="5" l="1"/>
  <c r="I11" i="5" l="1"/>
  <c r="I83" i="5" s="1"/>
  <c r="F83" i="5"/>
  <c r="G3" i="2"/>
  <c r="I15" i="2"/>
  <c r="E30" i="2"/>
  <c r="D5" i="2"/>
  <c r="F17" i="2"/>
  <c r="H35" i="2"/>
  <c r="C15" i="2"/>
  <c r="C17" i="2"/>
  <c r="H24" i="2"/>
  <c r="H17" i="2"/>
  <c r="D26" i="2"/>
  <c r="C8" i="2"/>
  <c r="E23" i="2"/>
  <c r="D6" i="2"/>
  <c r="C28" i="2"/>
  <c r="H31" i="2"/>
  <c r="F15" i="2"/>
  <c r="G16" i="2"/>
  <c r="E18" i="2"/>
  <c r="D9" i="2"/>
  <c r="F33" i="2"/>
  <c r="E29" i="2"/>
  <c r="F16" i="2"/>
  <c r="D11" i="2"/>
  <c r="I33" i="2"/>
  <c r="I31" i="2"/>
  <c r="I34" i="2"/>
  <c r="C33" i="2"/>
  <c r="F8" i="2"/>
  <c r="G6" i="2"/>
  <c r="I21" i="2"/>
  <c r="E31" i="2"/>
  <c r="F22" i="2"/>
  <c r="E25" i="2"/>
  <c r="H5" i="2"/>
  <c r="C16" i="2"/>
  <c r="H2" i="2"/>
  <c r="C30" i="2"/>
  <c r="C6" i="2"/>
  <c r="G23" i="2"/>
  <c r="E2" i="2"/>
  <c r="I18" i="2"/>
  <c r="H33" i="2"/>
  <c r="C11" i="2"/>
  <c r="D4" i="2"/>
  <c r="H9" i="2"/>
  <c r="C22" i="2"/>
  <c r="F20" i="2"/>
  <c r="G35" i="2"/>
  <c r="F12" i="2"/>
  <c r="D2" i="2"/>
  <c r="I35" i="2"/>
  <c r="E19" i="2"/>
  <c r="H8" i="2"/>
  <c r="E9" i="2"/>
  <c r="E36" i="2"/>
  <c r="F14" i="2"/>
  <c r="I16" i="2"/>
  <c r="F24" i="2"/>
  <c r="G2" i="2"/>
  <c r="D27" i="2"/>
  <c r="F2" i="2"/>
  <c r="C14" i="2"/>
  <c r="F30" i="2"/>
  <c r="E34" i="2"/>
  <c r="C36" i="2"/>
  <c r="F5" i="2"/>
  <c r="C32" i="2"/>
  <c r="G15" i="2"/>
  <c r="F11" i="2"/>
  <c r="D35" i="2"/>
  <c r="G25" i="2"/>
  <c r="F4" i="2"/>
  <c r="E11" i="2"/>
  <c r="H25" i="2"/>
  <c r="H3" i="2"/>
  <c r="D36" i="2"/>
  <c r="G28" i="2"/>
  <c r="F36" i="2"/>
  <c r="G21" i="2"/>
  <c r="E33" i="2"/>
  <c r="H14" i="2"/>
  <c r="I8" i="2"/>
  <c r="F18" i="2"/>
  <c r="C12" i="2"/>
  <c r="I3" i="2"/>
  <c r="F25" i="2"/>
  <c r="H36" i="2"/>
  <c r="H32" i="2"/>
  <c r="C31" i="2"/>
  <c r="I4" i="2"/>
  <c r="C2" i="2"/>
  <c r="H10" i="2"/>
  <c r="D31" i="2"/>
  <c r="H6" i="2"/>
  <c r="H19" i="2"/>
  <c r="D24" i="2"/>
  <c r="I20" i="2"/>
  <c r="H7" i="2"/>
  <c r="E12" i="2"/>
  <c r="I25" i="2"/>
  <c r="H13" i="2"/>
  <c r="H28" i="2"/>
  <c r="C19" i="2"/>
  <c r="F26" i="2"/>
  <c r="C23" i="2"/>
  <c r="I32" i="2"/>
  <c r="H26" i="2"/>
  <c r="D32" i="2"/>
  <c r="I23" i="2"/>
  <c r="E27" i="2"/>
  <c r="E13" i="2"/>
  <c r="G26" i="2"/>
  <c r="I2" i="2"/>
  <c r="F19" i="2"/>
  <c r="D7" i="2"/>
  <c r="G30" i="2"/>
  <c r="F29" i="2"/>
  <c r="H4" i="2"/>
  <c r="G12" i="2"/>
  <c r="C35" i="2"/>
  <c r="C26" i="2"/>
  <c r="H30" i="2"/>
  <c r="G4" i="2"/>
  <c r="G17" i="2"/>
  <c r="I12" i="2"/>
  <c r="D13" i="2"/>
  <c r="D21" i="2"/>
  <c r="C21" i="2"/>
  <c r="G8" i="2"/>
  <c r="E21" i="2"/>
  <c r="I14" i="2"/>
  <c r="G33" i="2"/>
  <c r="G18" i="2"/>
  <c r="F13" i="2"/>
  <c r="D29" i="2"/>
  <c r="F6" i="2"/>
  <c r="F10" i="2"/>
  <c r="F3" i="2"/>
  <c r="D12" i="2"/>
  <c r="E32" i="2"/>
  <c r="D30" i="2"/>
  <c r="E6" i="2"/>
  <c r="D10" i="2"/>
  <c r="F31" i="2"/>
  <c r="H18" i="2"/>
  <c r="E35" i="2"/>
  <c r="D16" i="2"/>
  <c r="E5" i="2"/>
  <c r="G24" i="2"/>
  <c r="E15" i="2"/>
  <c r="F21" i="2"/>
  <c r="C3" i="2"/>
  <c r="G20" i="2"/>
  <c r="I28" i="2"/>
  <c r="D18" i="2"/>
  <c r="I22" i="2"/>
  <c r="D3" i="2"/>
  <c r="G19" i="2"/>
  <c r="E10" i="2"/>
  <c r="E8" i="2"/>
  <c r="H16" i="2"/>
  <c r="C25" i="2"/>
  <c r="G7" i="2"/>
  <c r="H34" i="2"/>
  <c r="E26" i="2"/>
  <c r="C29" i="2"/>
  <c r="D17" i="2"/>
  <c r="G9" i="2"/>
  <c r="I24" i="2"/>
  <c r="D15" i="2"/>
  <c r="C7" i="2"/>
  <c r="G14" i="2"/>
  <c r="D22" i="2"/>
  <c r="H12" i="2"/>
  <c r="F32" i="2"/>
  <c r="I7" i="2"/>
  <c r="E20" i="2"/>
  <c r="H22" i="2"/>
  <c r="I27" i="2"/>
  <c r="G34" i="2"/>
  <c r="I9" i="2"/>
  <c r="G5" i="2"/>
  <c r="I29" i="2"/>
  <c r="G11" i="2"/>
  <c r="E16" i="2"/>
  <c r="C18" i="2"/>
  <c r="C24" i="2"/>
  <c r="G36" i="2"/>
  <c r="I6" i="2"/>
  <c r="E7" i="2"/>
  <c r="C27" i="2"/>
  <c r="I5" i="2"/>
  <c r="G22" i="2"/>
  <c r="E22" i="2"/>
  <c r="I30" i="2"/>
  <c r="I19" i="2"/>
  <c r="C9" i="2"/>
  <c r="F23" i="2"/>
  <c r="G31" i="2"/>
  <c r="H29" i="2"/>
  <c r="H21" i="2"/>
  <c r="H27" i="2"/>
  <c r="I17" i="2"/>
  <c r="C20" i="2"/>
  <c r="I13" i="2"/>
  <c r="C13" i="2"/>
  <c r="D34" i="2"/>
  <c r="I36" i="2"/>
  <c r="F35" i="2"/>
  <c r="D25" i="2"/>
  <c r="F9" i="2"/>
  <c r="F34" i="2"/>
  <c r="G27" i="2"/>
  <c r="D8" i="2"/>
  <c r="D14" i="2"/>
  <c r="D20" i="2"/>
  <c r="C5" i="2"/>
  <c r="C4" i="2"/>
  <c r="H20" i="2"/>
  <c r="F28" i="2"/>
  <c r="I11" i="2"/>
  <c r="C10" i="2"/>
  <c r="E28" i="2"/>
  <c r="E3" i="2"/>
  <c r="E17" i="2"/>
  <c r="G10" i="2"/>
  <c r="I26" i="2"/>
  <c r="E24" i="2"/>
  <c r="D28" i="2"/>
  <c r="E4" i="2"/>
  <c r="D19" i="2"/>
  <c r="H15" i="2"/>
  <c r="F27" i="2"/>
  <c r="G32" i="2"/>
  <c r="H11" i="2"/>
  <c r="G13" i="2"/>
  <c r="D33" i="2"/>
  <c r="I10" i="2"/>
  <c r="H23" i="2"/>
  <c r="E14" i="2"/>
  <c r="F7" i="2"/>
  <c r="D23" i="2"/>
  <c r="G29" i="2"/>
  <c r="C34" i="2"/>
</calcChain>
</file>

<file path=xl/sharedStrings.xml><?xml version="1.0" encoding="utf-8"?>
<sst xmlns="http://schemas.openxmlformats.org/spreadsheetml/2006/main" count="283" uniqueCount="182">
  <si>
    <t>Rubro CRI</t>
  </si>
  <si>
    <t>0</t>
  </si>
  <si>
    <t>1</t>
  </si>
  <si>
    <t>4</t>
  </si>
  <si>
    <t>5</t>
  </si>
  <si>
    <t>6</t>
  </si>
  <si>
    <t>8</t>
  </si>
  <si>
    <t>9</t>
  </si>
  <si>
    <t>Resultado total</t>
  </si>
  <si>
    <t xml:space="preserve">
Ingresos Estimado</t>
  </si>
  <si>
    <t xml:space="preserve">
Ampliaciones y Reducciones</t>
  </si>
  <si>
    <t xml:space="preserve">
Ingresos Modificado</t>
  </si>
  <si>
    <t xml:space="preserve">
Ingresos Devengado</t>
  </si>
  <si>
    <t xml:space="preserve">
Ingresos Recaudado</t>
  </si>
  <si>
    <t xml:space="preserve">
% de Avance de
la Recaudación</t>
  </si>
  <si>
    <t xml:space="preserve">
Ingresos Excedentes</t>
  </si>
  <si>
    <t/>
  </si>
  <si>
    <t>Tipo CRI</t>
  </si>
  <si>
    <t>Resultado</t>
  </si>
  <si>
    <t>3</t>
  </si>
  <si>
    <t>7</t>
  </si>
  <si>
    <t>2</t>
  </si>
  <si>
    <t>#</t>
  </si>
  <si>
    <t>P</t>
  </si>
  <si>
    <t>O</t>
  </si>
  <si>
    <t>GOBIERNO DEL ESTADO DE SONORA</t>
  </si>
  <si>
    <t>Estado Analítico del Ejercicio del Presupuesto de Egresos</t>
  </si>
  <si>
    <t>Clasificación por Objeto del Gasto (Capítulo y Concepto)</t>
  </si>
  <si>
    <t>Concepto</t>
  </si>
  <si>
    <t>Aprobado</t>
  </si>
  <si>
    <t>Modificado</t>
  </si>
  <si>
    <t>Devengado</t>
  </si>
  <si>
    <t>Pagado</t>
  </si>
  <si>
    <t>Pensiones y Jubilaciones</t>
  </si>
  <si>
    <t>Participaciones</t>
  </si>
  <si>
    <t>Dependencia</t>
  </si>
  <si>
    <t>LEGISLACION</t>
  </si>
  <si>
    <t>JUSTICIA</t>
  </si>
  <si>
    <t>COORDINACION DE LA POLITICA DE GOBIERNO</t>
  </si>
  <si>
    <t>ASUNTOS FINANCIEROS Y HACENDARIOS</t>
  </si>
  <si>
    <t>ASUNTOS DE ÓRDEN PÚBLICO Y DE SEGURIDAD INTERIOR</t>
  </si>
  <si>
    <t>OTROS SERVICIOS GENERALES</t>
  </si>
  <si>
    <t>PROTECCION AMBIENTAL</t>
  </si>
  <si>
    <t>VIVIENDA Y SERVICIOS A LA COMUNIDAD</t>
  </si>
  <si>
    <t>SALUD</t>
  </si>
  <si>
    <t>RECREACION,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</si>
  <si>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</si>
  <si>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</si>
  <si>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</si>
  <si>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</si>
  <si>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</si>
  <si>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ENERGIA</t>
  </si>
  <si>
    <t>MINERÍA, MANUFACTURAS Y CONSTRUCCION</t>
  </si>
  <si>
    <t>TRANSPORTE</t>
  </si>
  <si>
    <t>COMUNICACIONES</t>
  </si>
  <si>
    <t>TURISMO</t>
  </si>
  <si>
    <t>CIENCIA, TECNOLOGIA E INNOVACION</t>
  </si>
  <si>
    <t>OTRAS INDUSTRIAS Y OTROS ASUNTOS ECONÓMICOS</t>
  </si>
  <si>
    <t>ADEUDOS DE EJERCICIOS FISCALES ANTERIORES</t>
  </si>
  <si>
    <t>Gasto Corriente</t>
  </si>
  <si>
    <t>EJECUTIVO DEL ESTADO</t>
  </si>
  <si>
    <t>SECRETARIA DE GOBIERNO</t>
  </si>
  <si>
    <t>SECRETARIA DE HACIENDA</t>
  </si>
  <si>
    <t>SECRETARIA DE LA CONTRALORIA GENERAL</t>
  </si>
  <si>
    <t>SECRETARIA DE DESARROLLO SOCIAL</t>
  </si>
  <si>
    <t>SECRETARIA DE EDUCACION Y CULTURA</t>
  </si>
  <si>
    <t>SECRETARIA DE SALUD PUBLICA</t>
  </si>
  <si>
    <t>SECRETARIA DE ECONOMIA</t>
  </si>
  <si>
    <t>SECRETARIA DE AGRICULTURA, GANADERIA, RECURSOS HIDRAULICOS, PESCA Y ACUACULTURA</t>
  </si>
  <si>
    <t>PROCURADURIA GENERAL DE JUSTICIA DEL ESTADO</t>
  </si>
  <si>
    <t>SECRETARIA DEL TRABAJO</t>
  </si>
  <si>
    <t>DESARROLLO MUNICIPAL</t>
  </si>
  <si>
    <t>OFICIALIA MAYOR</t>
  </si>
  <si>
    <t>INSTITUTO DE SEGURIDAD Y SERVICIOS SOCIALES DE LOS TRABAJADORES DEL ESTADO DE SONORA</t>
  </si>
  <si>
    <t>H. CONGRESO DEL ESTADO</t>
  </si>
  <si>
    <t>SUPREMO TRIBUNAL DE JUSTICIA</t>
  </si>
  <si>
    <t>UNIVERSIDAD DE SONORA</t>
  </si>
  <si>
    <t>TRIBUNAL DE LO CONTENCIOSO ADMINISTRATIVO</t>
  </si>
  <si>
    <t>COMISION ESTATAL DE DERECHOS HUMANOS</t>
  </si>
  <si>
    <t>INSTITUTO DE TRANSPARENCIA INFORMATIVA DEL ESTADO DE SONORA</t>
  </si>
  <si>
    <t>CONSEJO CIUDADANO TRANSPORTE PUB. SUST.</t>
  </si>
  <si>
    <t>2015</t>
  </si>
  <si>
    <t>14/04/2016 07:34:38</t>
  </si>
  <si>
    <t>1..16</t>
  </si>
  <si>
    <t>Del 1 de Enero al 31 de Diciembre del 2015</t>
  </si>
  <si>
    <t>COG</t>
  </si>
  <si>
    <t>Egresos</t>
  </si>
  <si>
    <t>Subejercicio</t>
  </si>
  <si>
    <t>Ampliaciones y Reducciones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</si>
  <si>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</si>
  <si>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</si>
  <si>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</si>
  <si>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</si>
  <si>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</si>
  <si>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</si>
  <si>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</si>
  <si>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</si>
  <si>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</si>
  <si>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</si>
  <si>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</si>
  <si>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</si>
  <si>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</si>
  <si>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</si>
  <si>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</si>
  <si>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</si>
  <si>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Lubricantes,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</si>
  <si>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</si>
  <si>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</si>
  <si>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</si>
  <si>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</si>
  <si>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</si>
  <si>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</si>
  <si>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</si>
  <si>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</si>
  <si>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</si>
  <si>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</si>
  <si>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</si>
  <si>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</si>
  <si>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</si>
  <si>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</si>
  <si>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</si>
  <si>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</si>
  <si>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</si>
  <si>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</si>
  <si>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</si>
  <si>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</si>
  <si>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</si>
  <si>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</si>
  <si>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</si>
  <si>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</si>
  <si>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</si>
  <si>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Instrumetal Médico y de Laboratorio</t>
  </si>
  <si>
    <t>Vehículo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</si>
  <si>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</si>
  <si>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</si>
  <si>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</si>
  <si>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</si>
  <si>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</si>
  <si>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</si>
  <si>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</si>
  <si>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</si>
  <si>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</si>
  <si>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</si>
  <si>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</si>
  <si>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</si>
  <si>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</si>
  <si>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</si>
  <si>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</si>
  <si>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</si>
  <si>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</si>
  <si>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</si>
  <si>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</si>
  <si>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</si>
  <si>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</si>
  <si>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</si>
  <si>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</si>
  <si>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</si>
  <si>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</si>
  <si>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</si>
  <si>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</si>
  <si>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</si>
  <si>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</si>
  <si>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14/04/2016 07:34:39</t>
  </si>
  <si>
    <t>Clasificación Económica (Tipo de Gasto)</t>
  </si>
  <si>
    <t>Tipo de Gasto</t>
  </si>
  <si>
    <t>Gasto de Capital</t>
  </si>
  <si>
    <t>Amortización de la Deuda y Disminución de Pasivos</t>
  </si>
  <si>
    <t>Pensiones y jubilaciones</t>
  </si>
  <si>
    <t>Clasificación Administrativa</t>
  </si>
  <si>
    <t>SECRETARIA DE INFRAESTRUCTURA Y DESARROLLO URBANO</t>
  </si>
  <si>
    <t>SECRETARIA EJECUTIVA DE SEGURIDAD PUBLICA</t>
  </si>
  <si>
    <t>ORGANISMOS ELECTORALES</t>
  </si>
  <si>
    <t>CONSEJO ESTATAL ELECTORAL Y DE PART. CIUDADANA</t>
  </si>
  <si>
    <t>14/04/2016 07:34:41</t>
  </si>
  <si>
    <t>Clasificación Funcional</t>
  </si>
  <si>
    <t>Finalidad - Función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</si>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</sst>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\ %"/>
    <numFmt numFmtId="165" formatCode="#,##0.00;\-\ #,##0.00"/>
    <numFmt numFmtId="166" formatCode="#,##0.00\ %;\-\ #,##0.00\ %"/>
    <numFmt numFmtId="167" formatCode="&quot;$&quot;#,##0.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99">
    <xf numFmtId="0" fontId="0" fillId="0" borderId="0"/>
    <xf numFmtId="0" fontId="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5" fillId="37" borderId="0" applyNumberFormat="0" applyBorder="0" applyAlignment="0" applyProtection="0"/>
    <xf numFmtId="0" fontId="26" fillId="36" borderId="0" applyNumberFormat="0" applyBorder="0" applyAlignment="0" applyProtection="0"/>
    <xf numFmtId="0" fontId="24" fillId="36" borderId="11" applyNumberFormat="0" applyAlignment="0" applyProtection="0"/>
    <xf numFmtId="0" fontId="28" fillId="34" borderId="15" applyNumberFormat="0" applyAlignment="0" applyProtection="0"/>
    <xf numFmtId="0" fontId="20" fillId="34" borderId="11" applyNumberFormat="0" applyAlignment="0" applyProtection="0"/>
    <xf numFmtId="0" fontId="22" fillId="0" borderId="13" applyNumberFormat="0" applyFill="0" applyAlignment="0" applyProtection="0"/>
    <xf numFmtId="0" fontId="21" fillId="35" borderId="12" applyNumberFormat="0" applyAlignment="0" applyProtection="0"/>
    <xf numFmtId="0" fontId="37" fillId="0" borderId="0" applyNumberFormat="0" applyFill="0" applyBorder="0" applyAlignment="0" applyProtection="0"/>
    <xf numFmtId="0" fontId="27" fillId="38" borderId="14" applyNumberFormat="0" applyFont="0" applyAlignment="0" applyProtection="0"/>
    <xf numFmtId="0" fontId="38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1" fillId="0" borderId="0"/>
    <xf numFmtId="4" fontId="29" fillId="39" borderId="16" applyNumberFormat="0" applyProtection="0">
      <alignment vertical="center"/>
    </xf>
    <xf numFmtId="4" fontId="30" fillId="39" borderId="16" applyNumberFormat="0" applyProtection="0">
      <alignment vertical="center"/>
    </xf>
    <xf numFmtId="4" fontId="29" fillId="39" borderId="16" applyNumberFormat="0" applyProtection="0">
      <alignment horizontal="left" vertical="center" indent="1"/>
    </xf>
    <xf numFmtId="0" fontId="29" fillId="39" borderId="16" applyNumberFormat="0" applyProtection="0">
      <alignment horizontal="left" vertical="top" indent="1"/>
    </xf>
    <xf numFmtId="4" fontId="29" fillId="40" borderId="0" applyNumberFormat="0" applyProtection="0">
      <alignment horizontal="left" vertical="center" indent="1"/>
    </xf>
    <xf numFmtId="4" fontId="31" fillId="41" borderId="16" applyNumberFormat="0" applyProtection="0">
      <alignment horizontal="right" vertical="center"/>
    </xf>
    <xf numFmtId="4" fontId="31" fillId="42" borderId="16" applyNumberFormat="0" applyProtection="0">
      <alignment horizontal="right" vertical="center"/>
    </xf>
    <xf numFmtId="4" fontId="31" fillId="43" borderId="16" applyNumberFormat="0" applyProtection="0">
      <alignment horizontal="right" vertical="center"/>
    </xf>
    <xf numFmtId="4" fontId="31" fillId="44" borderId="16" applyNumberFormat="0" applyProtection="0">
      <alignment horizontal="right" vertical="center"/>
    </xf>
    <xf numFmtId="4" fontId="31" fillId="45" borderId="16" applyNumberFormat="0" applyProtection="0">
      <alignment horizontal="right" vertical="center"/>
    </xf>
    <xf numFmtId="4" fontId="31" fillId="46" borderId="16" applyNumberFormat="0" applyProtection="0">
      <alignment horizontal="right" vertical="center"/>
    </xf>
    <xf numFmtId="4" fontId="31" fillId="47" borderId="16" applyNumberFormat="0" applyProtection="0">
      <alignment horizontal="right" vertical="center"/>
    </xf>
    <xf numFmtId="4" fontId="31" fillId="48" borderId="16" applyNumberFormat="0" applyProtection="0">
      <alignment horizontal="right" vertical="center"/>
    </xf>
    <xf numFmtId="4" fontId="31" fillId="49" borderId="16" applyNumberFormat="0" applyProtection="0">
      <alignment horizontal="right" vertical="center"/>
    </xf>
    <xf numFmtId="4" fontId="29" fillId="50" borderId="17" applyNumberFormat="0" applyProtection="0">
      <alignment horizontal="left" vertical="center" indent="1"/>
    </xf>
    <xf numFmtId="4" fontId="31" fillId="51" borderId="0" applyNumberFormat="0" applyProtection="0">
      <alignment horizontal="left" vertical="center" indent="1"/>
    </xf>
    <xf numFmtId="4" fontId="32" fillId="52" borderId="0" applyNumberFormat="0" applyProtection="0">
      <alignment horizontal="left" vertical="center" indent="1"/>
    </xf>
    <xf numFmtId="4" fontId="31" fillId="40" borderId="16" applyNumberFormat="0" applyProtection="0">
      <alignment horizontal="right" vertical="center"/>
    </xf>
    <xf numFmtId="4" fontId="31" fillId="51" borderId="0" applyNumberFormat="0" applyProtection="0">
      <alignment horizontal="left" vertical="center" indent="1"/>
    </xf>
    <xf numFmtId="4" fontId="31" fillId="40" borderId="0" applyNumberFormat="0" applyProtection="0">
      <alignment horizontal="left" vertical="center" indent="1"/>
    </xf>
    <xf numFmtId="0" fontId="27" fillId="52" borderId="16" applyNumberFormat="0" applyProtection="0">
      <alignment horizontal="left" vertical="center" indent="1"/>
    </xf>
    <xf numFmtId="0" fontId="27" fillId="52" borderId="16" applyNumberFormat="0" applyProtection="0">
      <alignment horizontal="left" vertical="top" indent="1"/>
    </xf>
    <xf numFmtId="0" fontId="27" fillId="40" borderId="16" applyNumberFormat="0" applyProtection="0">
      <alignment horizontal="left" vertical="center" indent="1"/>
    </xf>
    <xf numFmtId="0" fontId="27" fillId="40" borderId="16" applyNumberFormat="0" applyProtection="0">
      <alignment horizontal="left" vertical="top" indent="1"/>
    </xf>
    <xf numFmtId="0" fontId="27" fillId="53" borderId="16" applyNumberFormat="0" applyProtection="0">
      <alignment horizontal="left" vertical="center" indent="1"/>
    </xf>
    <xf numFmtId="0" fontId="27" fillId="53" borderId="16" applyNumberFormat="0" applyProtection="0">
      <alignment horizontal="left" vertical="top" indent="1"/>
    </xf>
    <xf numFmtId="0" fontId="27" fillId="51" borderId="16" applyNumberFormat="0" applyProtection="0">
      <alignment horizontal="left" vertical="center" indent="1"/>
    </xf>
    <xf numFmtId="0" fontId="27" fillId="51" borderId="16" applyNumberFormat="0" applyProtection="0">
      <alignment horizontal="left" vertical="top" indent="1"/>
    </xf>
    <xf numFmtId="0" fontId="27" fillId="54" borderId="10" applyNumberFormat="0">
      <protection locked="0"/>
    </xf>
    <xf numFmtId="4" fontId="31" fillId="55" borderId="16" applyNumberFormat="0" applyProtection="0">
      <alignment vertical="center"/>
    </xf>
    <xf numFmtId="4" fontId="33" fillId="55" borderId="16" applyNumberFormat="0" applyProtection="0">
      <alignment vertical="center"/>
    </xf>
    <xf numFmtId="4" fontId="31" fillId="55" borderId="16" applyNumberFormat="0" applyProtection="0">
      <alignment horizontal="left" vertical="center" indent="1"/>
    </xf>
    <xf numFmtId="0" fontId="31" fillId="55" borderId="16" applyNumberFormat="0" applyProtection="0">
      <alignment horizontal="left" vertical="top" indent="1"/>
    </xf>
    <xf numFmtId="4" fontId="31" fillId="51" borderId="16" applyNumberFormat="0" applyProtection="0">
      <alignment horizontal="right" vertical="center"/>
    </xf>
    <xf numFmtId="4" fontId="33" fillId="51" borderId="16" applyNumberFormat="0" applyProtection="0">
      <alignment horizontal="right" vertical="center"/>
    </xf>
    <xf numFmtId="4" fontId="31" fillId="40" borderId="16" applyNumberFormat="0" applyProtection="0">
      <alignment horizontal="left" vertical="center" indent="1"/>
    </xf>
    <xf numFmtId="0" fontId="31" fillId="40" borderId="16" applyNumberFormat="0" applyProtection="0">
      <alignment horizontal="left" vertical="top" indent="1"/>
    </xf>
    <xf numFmtId="4" fontId="34" fillId="56" borderId="0" applyNumberFormat="0" applyProtection="0">
      <alignment horizontal="left" vertical="center" indent="1"/>
    </xf>
    <xf numFmtId="4" fontId="35" fillId="51" borderId="16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7" fillId="0" borderId="0"/>
    <xf numFmtId="4" fontId="31" fillId="51" borderId="0" applyNumberFormat="0" applyProtection="0">
      <alignment horizontal="left" vertical="center" indent="1"/>
    </xf>
    <xf numFmtId="4" fontId="31" fillId="4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5" fillId="37" borderId="0" applyNumberFormat="0" applyBorder="0" applyAlignment="0" applyProtection="0"/>
    <xf numFmtId="0" fontId="26" fillId="36" borderId="0" applyNumberFormat="0" applyBorder="0" applyAlignment="0" applyProtection="0"/>
    <xf numFmtId="0" fontId="24" fillId="36" borderId="11" applyNumberFormat="0" applyAlignment="0" applyProtection="0"/>
    <xf numFmtId="0" fontId="28" fillId="34" borderId="15" applyNumberFormat="0" applyAlignment="0" applyProtection="0"/>
    <xf numFmtId="0" fontId="20" fillId="34" borderId="11" applyNumberFormat="0" applyAlignment="0" applyProtection="0"/>
    <xf numFmtId="0" fontId="22" fillId="0" borderId="13" applyNumberFormat="0" applyFill="0" applyAlignment="0" applyProtection="0"/>
    <xf numFmtId="0" fontId="21" fillId="35" borderId="12" applyNumberFormat="0" applyAlignment="0" applyProtection="0"/>
    <xf numFmtId="0" fontId="37" fillId="0" borderId="0" applyNumberFormat="0" applyFill="0" applyBorder="0" applyAlignment="0" applyProtection="0"/>
    <xf numFmtId="0" fontId="27" fillId="38" borderId="14" applyNumberFormat="0" applyFont="0" applyAlignment="0" applyProtection="0"/>
    <xf numFmtId="0" fontId="38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31" fillId="40" borderId="16" xfId="79" quotePrefix="1" applyNumberFormat="1">
      <alignment horizontal="left" vertical="center" indent="1"/>
    </xf>
    <xf numFmtId="4" fontId="31" fillId="51" borderId="16" xfId="77" applyNumberFormat="1">
      <alignment horizontal="right" vertical="center"/>
    </xf>
    <xf numFmtId="3" fontId="31" fillId="51" borderId="16" xfId="77" applyNumberFormat="1">
      <alignment horizontal="right" vertical="center"/>
    </xf>
    <xf numFmtId="164" fontId="31" fillId="51" borderId="16" xfId="77" applyNumberFormat="1">
      <alignment horizontal="right" vertical="center"/>
    </xf>
    <xf numFmtId="0" fontId="29" fillId="39" borderId="16" xfId="46" quotePrefix="1" applyNumberFormat="1">
      <alignment horizontal="left" vertical="center" indent="1"/>
    </xf>
    <xf numFmtId="4" fontId="29" fillId="39" borderId="16" xfId="44" applyNumberFormat="1">
      <alignment vertical="center"/>
    </xf>
    <xf numFmtId="3" fontId="29" fillId="39" borderId="16" xfId="44" applyNumberFormat="1">
      <alignment vertical="center"/>
    </xf>
    <xf numFmtId="164" fontId="29" fillId="39" borderId="16" xfId="44" applyNumberFormat="1">
      <alignment vertical="center"/>
    </xf>
    <xf numFmtId="0" fontId="29" fillId="40" borderId="0" xfId="48" quotePrefix="1" applyNumberFormat="1" applyAlignment="1">
      <alignment horizontal="left" vertical="center" indent="1"/>
    </xf>
    <xf numFmtId="165" fontId="31" fillId="51" borderId="16" xfId="77" applyNumberFormat="1">
      <alignment horizontal="right" vertical="center"/>
    </xf>
    <xf numFmtId="166" fontId="31" fillId="51" borderId="16" xfId="77" applyNumberFormat="1">
      <alignment horizontal="right" vertical="center"/>
    </xf>
    <xf numFmtId="165" fontId="29" fillId="39" borderId="16" xfId="44" applyNumberFormat="1">
      <alignment vertical="center"/>
    </xf>
    <xf numFmtId="166" fontId="29" fillId="39" borderId="16" xfId="44" applyNumberFormat="1">
      <alignment vertical="center"/>
    </xf>
    <xf numFmtId="0" fontId="18" fillId="52" borderId="16" xfId="65" quotePrefix="1" applyFont="1" applyAlignment="1">
      <alignment horizontal="left" vertical="top" wrapText="1" indent="1"/>
    </xf>
    <xf numFmtId="0" fontId="43" fillId="57" borderId="0" xfId="0" quotePrefix="1" applyFont="1" applyFill="1" applyAlignment="1"/>
    <xf numFmtId="14" fontId="43" fillId="57" borderId="0" xfId="0" quotePrefix="1" applyNumberFormat="1" applyFont="1" applyFill="1" applyAlignment="1"/>
    <xf numFmtId="0" fontId="43" fillId="57" borderId="0" xfId="0" applyFont="1" applyFill="1"/>
    <xf numFmtId="0" fontId="0" fillId="57" borderId="0" xfId="0" applyFill="1"/>
    <xf numFmtId="0" fontId="16" fillId="57" borderId="34" xfId="26" applyFont="1" applyFill="1" applyBorder="1" applyAlignment="1">
      <alignment horizontal="center"/>
    </xf>
    <xf numFmtId="0" fontId="16" fillId="57" borderId="0" xfId="26" applyFont="1" applyFill="1" applyBorder="1" applyAlignment="1">
      <alignment horizontal="center" wrapText="1"/>
    </xf>
    <xf numFmtId="0" fontId="16" fillId="57" borderId="31" xfId="26" applyFont="1" applyFill="1" applyBorder="1" applyAlignment="1">
      <alignment horizontal="center"/>
    </xf>
    <xf numFmtId="0" fontId="16" fillId="57" borderId="30" xfId="26" applyFont="1" applyFill="1" applyBorder="1" applyAlignment="1">
      <alignment horizontal="center"/>
    </xf>
    <xf numFmtId="0" fontId="16" fillId="57" borderId="32" xfId="26" applyFont="1" applyFill="1" applyBorder="1" applyAlignment="1">
      <alignment horizontal="center"/>
    </xf>
    <xf numFmtId="0" fontId="47" fillId="57" borderId="25" xfId="26" applyFont="1" applyFill="1" applyBorder="1"/>
    <xf numFmtId="0" fontId="47" fillId="57" borderId="0" xfId="26" applyFont="1" applyFill="1" applyBorder="1"/>
    <xf numFmtId="0" fontId="46" fillId="57" borderId="0" xfId="26" applyFont="1" applyFill="1" applyBorder="1" applyAlignment="1">
      <alignment horizontal="center"/>
    </xf>
    <xf numFmtId="167" fontId="47" fillId="57" borderId="36" xfId="26" applyNumberFormat="1" applyFont="1" applyFill="1" applyBorder="1"/>
    <xf numFmtId="167" fontId="47" fillId="57" borderId="26" xfId="26" applyNumberFormat="1" applyFont="1" applyFill="1" applyBorder="1"/>
    <xf numFmtId="0" fontId="18" fillId="57" borderId="25" xfId="26" applyFill="1" applyBorder="1"/>
    <xf numFmtId="0" fontId="18" fillId="57" borderId="0" xfId="26" applyFill="1" applyBorder="1"/>
    <xf numFmtId="0" fontId="48" fillId="57" borderId="0" xfId="26" applyFont="1" applyFill="1" applyBorder="1" applyAlignment="1">
      <alignment horizontal="center"/>
    </xf>
    <xf numFmtId="167" fontId="18" fillId="57" borderId="36" xfId="26" applyNumberFormat="1" applyFont="1" applyFill="1" applyBorder="1"/>
    <xf numFmtId="167" fontId="18" fillId="57" borderId="26" xfId="26" applyNumberFormat="1" applyFont="1" applyFill="1" applyBorder="1"/>
    <xf numFmtId="167" fontId="18" fillId="57" borderId="36" xfId="26" applyNumberFormat="1" applyFill="1" applyBorder="1"/>
    <xf numFmtId="0" fontId="18" fillId="0" borderId="0" xfId="26" applyFill="1" applyBorder="1"/>
    <xf numFmtId="0" fontId="48" fillId="0" borderId="0" xfId="26" applyFont="1" applyFill="1" applyBorder="1" applyAlignment="1">
      <alignment horizontal="center"/>
    </xf>
    <xf numFmtId="167" fontId="18" fillId="0" borderId="36" xfId="26" applyNumberFormat="1" applyFill="1" applyBorder="1"/>
    <xf numFmtId="167" fontId="18" fillId="0" borderId="36" xfId="26" applyNumberFormat="1" applyFont="1" applyFill="1" applyBorder="1"/>
    <xf numFmtId="167" fontId="18" fillId="0" borderId="26" xfId="26" applyNumberFormat="1" applyFont="1" applyFill="1" applyBorder="1"/>
    <xf numFmtId="0" fontId="18" fillId="57" borderId="0" xfId="26" applyFont="1" applyFill="1" applyBorder="1"/>
    <xf numFmtId="0" fontId="48" fillId="57" borderId="0" xfId="26" applyFont="1" applyFill="1" applyBorder="1" applyAlignment="1">
      <alignment horizontal="center" wrapText="1"/>
    </xf>
    <xf numFmtId="0" fontId="18" fillId="57" borderId="29" xfId="26" applyFill="1" applyBorder="1"/>
    <xf numFmtId="0" fontId="16" fillId="57" borderId="30" xfId="26" applyFont="1" applyFill="1" applyBorder="1"/>
    <xf numFmtId="0" fontId="46" fillId="57" borderId="30" xfId="26" applyFont="1" applyFill="1" applyBorder="1" applyAlignment="1">
      <alignment horizontal="center"/>
    </xf>
    <xf numFmtId="167" fontId="47" fillId="57" borderId="31" xfId="26" applyNumberFormat="1" applyFont="1" applyFill="1" applyBorder="1"/>
    <xf numFmtId="0" fontId="16" fillId="57" borderId="0" xfId="90" applyFont="1" applyFill="1" applyBorder="1"/>
    <xf numFmtId="0" fontId="47" fillId="57" borderId="0" xfId="0" applyFont="1" applyFill="1" applyBorder="1"/>
    <xf numFmtId="167" fontId="0" fillId="57" borderId="0" xfId="0" applyNumberFormat="1" applyFill="1"/>
    <xf numFmtId="4" fontId="0" fillId="57" borderId="0" xfId="0" applyNumberFormat="1" applyFill="1"/>
    <xf numFmtId="43" fontId="0" fillId="57" borderId="0" xfId="597" applyFont="1" applyFill="1"/>
    <xf numFmtId="0" fontId="16" fillId="57" borderId="34" xfId="26" applyFont="1" applyFill="1" applyBorder="1" applyAlignment="1">
      <alignment horizontal="center" vertical="center"/>
    </xf>
    <xf numFmtId="0" fontId="16" fillId="57" borderId="0" xfId="26" applyFont="1" applyFill="1" applyBorder="1" applyAlignment="1">
      <alignment horizontal="center" vertical="center" wrapText="1"/>
    </xf>
    <xf numFmtId="167" fontId="47" fillId="57" borderId="34" xfId="26" applyNumberFormat="1" applyFont="1" applyFill="1" applyBorder="1"/>
    <xf numFmtId="167" fontId="18" fillId="57" borderId="36" xfId="26" applyNumberFormat="1" applyFont="1" applyFill="1" applyBorder="1" applyAlignment="1">
      <alignment vertical="center"/>
    </xf>
    <xf numFmtId="167" fontId="18" fillId="57" borderId="26" xfId="26" applyNumberFormat="1" applyFont="1" applyFill="1" applyBorder="1" applyAlignment="1">
      <alignment vertical="center"/>
    </xf>
    <xf numFmtId="167" fontId="18" fillId="0" borderId="36" xfId="26" applyNumberFormat="1" applyFont="1" applyFill="1" applyBorder="1" applyAlignment="1">
      <alignment vertical="center"/>
    </xf>
    <xf numFmtId="167" fontId="18" fillId="0" borderId="26" xfId="26" applyNumberFormat="1" applyFont="1" applyFill="1" applyBorder="1" applyAlignment="1">
      <alignment vertical="center"/>
    </xf>
    <xf numFmtId="0" fontId="0" fillId="57" borderId="0" xfId="0" applyFill="1" applyBorder="1" applyAlignment="1">
      <alignment vertical="center"/>
    </xf>
    <xf numFmtId="167" fontId="47" fillId="57" borderId="36" xfId="26" applyNumberFormat="1" applyFont="1" applyFill="1" applyBorder="1" applyAlignment="1">
      <alignment vertical="center"/>
    </xf>
    <xf numFmtId="167" fontId="47" fillId="57" borderId="26" xfId="26" applyNumberFormat="1" applyFont="1" applyFill="1" applyBorder="1" applyAlignment="1">
      <alignment vertical="center"/>
    </xf>
    <xf numFmtId="0" fontId="18" fillId="57" borderId="0" xfId="26" applyFill="1" applyBorder="1" applyAlignment="1">
      <alignment vertical="center"/>
    </xf>
    <xf numFmtId="167" fontId="18" fillId="57" borderId="35" xfId="26" applyNumberFormat="1" applyFill="1" applyBorder="1" applyAlignment="1">
      <alignment vertical="center"/>
    </xf>
    <xf numFmtId="167" fontId="18" fillId="57" borderId="26" xfId="26" applyNumberFormat="1" applyFill="1" applyBorder="1" applyAlignment="1">
      <alignment vertical="center"/>
    </xf>
    <xf numFmtId="167" fontId="18" fillId="57" borderId="36" xfId="26" applyNumberFormat="1" applyFill="1" applyBorder="1" applyAlignment="1">
      <alignment vertical="center"/>
    </xf>
    <xf numFmtId="0" fontId="16" fillId="57" borderId="30" xfId="26" applyFont="1" applyFill="1" applyBorder="1" applyAlignment="1">
      <alignment horizontal="center" vertical="center"/>
    </xf>
    <xf numFmtId="167" fontId="47" fillId="57" borderId="31" xfId="26" applyNumberFormat="1" applyFont="1" applyFill="1" applyBorder="1" applyAlignment="1">
      <alignment vertical="center"/>
    </xf>
    <xf numFmtId="0" fontId="1" fillId="57" borderId="0" xfId="598" applyFill="1" applyBorder="1" applyAlignment="1">
      <alignment horizontal="justify" vertical="center" wrapText="1"/>
    </xf>
    <xf numFmtId="0" fontId="1" fillId="0" borderId="0" xfId="598" applyFill="1" applyBorder="1" applyAlignment="1">
      <alignment horizontal="justify" vertical="center" wrapText="1"/>
    </xf>
    <xf numFmtId="0" fontId="0" fillId="57" borderId="27" xfId="0" applyFill="1" applyBorder="1"/>
    <xf numFmtId="0" fontId="0" fillId="57" borderId="28" xfId="0" applyFill="1" applyBorder="1"/>
    <xf numFmtId="0" fontId="0" fillId="57" borderId="33" xfId="0" applyFill="1" applyBorder="1"/>
    <xf numFmtId="0" fontId="49" fillId="57" borderId="34" xfId="26" applyFont="1" applyFill="1" applyBorder="1" applyAlignment="1">
      <alignment horizontal="center" vertical="center"/>
    </xf>
    <xf numFmtId="0" fontId="49" fillId="57" borderId="0" xfId="26" applyFont="1" applyFill="1" applyBorder="1" applyAlignment="1">
      <alignment horizontal="center" vertical="center" wrapText="1"/>
    </xf>
    <xf numFmtId="0" fontId="49" fillId="57" borderId="31" xfId="26" applyFont="1" applyFill="1" applyBorder="1" applyAlignment="1">
      <alignment horizontal="center"/>
    </xf>
    <xf numFmtId="0" fontId="49" fillId="57" borderId="30" xfId="26" applyFont="1" applyFill="1" applyBorder="1" applyAlignment="1">
      <alignment horizontal="center"/>
    </xf>
    <xf numFmtId="0" fontId="49" fillId="57" borderId="32" xfId="26" applyFont="1" applyFill="1" applyBorder="1" applyAlignment="1">
      <alignment horizontal="center"/>
    </xf>
    <xf numFmtId="0" fontId="49" fillId="57" borderId="25" xfId="26" applyFont="1" applyFill="1" applyBorder="1" applyAlignment="1">
      <alignment horizontal="center" vertical="center"/>
    </xf>
    <xf numFmtId="0" fontId="49" fillId="57" borderId="0" xfId="26" applyFont="1" applyFill="1" applyBorder="1" applyAlignment="1">
      <alignment horizontal="center" vertical="center"/>
    </xf>
    <xf numFmtId="0" fontId="50" fillId="57" borderId="0" xfId="26" applyFont="1" applyFill="1" applyBorder="1" applyAlignment="1">
      <alignment horizontal="center" vertical="center" wrapText="1"/>
    </xf>
    <xf numFmtId="0" fontId="49" fillId="57" borderId="34" xfId="26" applyFont="1" applyFill="1" applyBorder="1" applyAlignment="1">
      <alignment horizontal="center"/>
    </xf>
    <xf numFmtId="0" fontId="49" fillId="57" borderId="0" xfId="26" applyFont="1" applyFill="1" applyBorder="1" applyAlignment="1">
      <alignment horizontal="center"/>
    </xf>
    <xf numFmtId="0" fontId="49" fillId="57" borderId="36" xfId="26" applyFont="1" applyFill="1" applyBorder="1" applyAlignment="1">
      <alignment horizontal="center"/>
    </xf>
    <xf numFmtId="0" fontId="49" fillId="57" borderId="26" xfId="26" applyFont="1" applyFill="1" applyBorder="1" applyAlignment="1">
      <alignment horizontal="center"/>
    </xf>
    <xf numFmtId="0" fontId="51" fillId="57" borderId="25" xfId="26" applyFont="1" applyFill="1" applyBorder="1"/>
    <xf numFmtId="0" fontId="51" fillId="57" borderId="0" xfId="26" applyFont="1" applyFill="1" applyBorder="1"/>
    <xf numFmtId="0" fontId="50" fillId="57" borderId="0" xfId="26" applyFont="1" applyFill="1" applyBorder="1" applyAlignment="1">
      <alignment horizontal="center"/>
    </xf>
    <xf numFmtId="167" fontId="51" fillId="57" borderId="36" xfId="26" applyNumberFormat="1" applyFont="1" applyFill="1" applyBorder="1"/>
    <xf numFmtId="167" fontId="51" fillId="57" borderId="26" xfId="26" applyNumberFormat="1" applyFont="1" applyFill="1" applyBorder="1"/>
    <xf numFmtId="0" fontId="53" fillId="57" borderId="0" xfId="26" applyFont="1" applyFill="1" applyBorder="1" applyAlignment="1">
      <alignment horizontal="center"/>
    </xf>
    <xf numFmtId="167" fontId="54" fillId="57" borderId="36" xfId="26" applyNumberFormat="1" applyFont="1" applyFill="1" applyBorder="1"/>
    <xf numFmtId="167" fontId="54" fillId="57" borderId="26" xfId="26" applyNumberFormat="1" applyFont="1" applyFill="1" applyBorder="1"/>
    <xf numFmtId="0" fontId="54" fillId="57" borderId="0" xfId="0" applyFont="1" applyFill="1" applyBorder="1" applyAlignment="1">
      <alignment horizontal="justify" vertical="center" wrapText="1"/>
    </xf>
    <xf numFmtId="0" fontId="54" fillId="57" borderId="25" xfId="26" applyFont="1" applyFill="1" applyBorder="1"/>
    <xf numFmtId="0" fontId="54" fillId="57" borderId="0" xfId="26" applyFont="1" applyFill="1" applyBorder="1" applyAlignment="1">
      <alignment horizontal="justify" vertical="center" wrapText="1"/>
    </xf>
    <xf numFmtId="167" fontId="54" fillId="57" borderId="35" xfId="26" applyNumberFormat="1" applyFont="1" applyFill="1" applyBorder="1"/>
    <xf numFmtId="0" fontId="54" fillId="57" borderId="29" xfId="26" applyFont="1" applyFill="1" applyBorder="1"/>
    <xf numFmtId="0" fontId="50" fillId="57" borderId="30" xfId="26" applyFont="1" applyFill="1" applyBorder="1" applyAlignment="1">
      <alignment horizontal="center"/>
    </xf>
    <xf numFmtId="167" fontId="51" fillId="57" borderId="31" xfId="26" applyNumberFormat="1" applyFont="1" applyFill="1" applyBorder="1"/>
    <xf numFmtId="0" fontId="52" fillId="57" borderId="0" xfId="598" applyFont="1" applyFill="1" applyBorder="1" applyAlignment="1">
      <alignment wrapText="1"/>
    </xf>
    <xf numFmtId="0" fontId="44" fillId="57" borderId="22" xfId="26" applyFont="1" applyFill="1" applyBorder="1" applyAlignment="1">
      <alignment horizontal="center"/>
    </xf>
    <xf numFmtId="0" fontId="44" fillId="57" borderId="23" xfId="26" applyFont="1" applyFill="1" applyBorder="1" applyAlignment="1">
      <alignment horizontal="center"/>
    </xf>
    <xf numFmtId="0" fontId="44" fillId="57" borderId="24" xfId="26" applyFont="1" applyFill="1" applyBorder="1" applyAlignment="1">
      <alignment horizontal="center"/>
    </xf>
    <xf numFmtId="0" fontId="45" fillId="57" borderId="25" xfId="26" applyFont="1" applyFill="1" applyBorder="1" applyAlignment="1">
      <alignment horizontal="center"/>
    </xf>
    <xf numFmtId="0" fontId="45" fillId="57" borderId="0" xfId="26" applyFont="1" applyFill="1" applyBorder="1" applyAlignment="1">
      <alignment horizontal="center"/>
    </xf>
    <xf numFmtId="0" fontId="45" fillId="57" borderId="26" xfId="26" applyFont="1" applyFill="1" applyBorder="1" applyAlignment="1">
      <alignment horizontal="center"/>
    </xf>
    <xf numFmtId="0" fontId="16" fillId="57" borderId="25" xfId="26" applyFont="1" applyFill="1" applyBorder="1" applyAlignment="1">
      <alignment horizontal="center"/>
    </xf>
    <xf numFmtId="0" fontId="16" fillId="57" borderId="0" xfId="26" applyFont="1" applyFill="1" applyBorder="1" applyAlignment="1">
      <alignment horizontal="center"/>
    </xf>
    <xf numFmtId="0" fontId="16" fillId="57" borderId="26" xfId="26" applyFont="1" applyFill="1" applyBorder="1" applyAlignment="1">
      <alignment horizontal="center"/>
    </xf>
    <xf numFmtId="0" fontId="16" fillId="57" borderId="25" xfId="26" applyFont="1" applyFill="1" applyBorder="1" applyAlignment="1">
      <alignment horizontal="center" vertical="center"/>
    </xf>
    <xf numFmtId="0" fontId="16" fillId="57" borderId="0" xfId="26" applyFont="1" applyFill="1" applyBorder="1" applyAlignment="1">
      <alignment horizontal="center" vertical="center"/>
    </xf>
    <xf numFmtId="0" fontId="16" fillId="57" borderId="26" xfId="26" applyFont="1" applyFill="1" applyBorder="1" applyAlignment="1">
      <alignment horizontal="center" vertical="center"/>
    </xf>
    <xf numFmtId="0" fontId="16" fillId="57" borderId="27" xfId="26" applyFont="1" applyFill="1" applyBorder="1" applyAlignment="1">
      <alignment horizontal="center"/>
    </xf>
    <xf numFmtId="0" fontId="16" fillId="57" borderId="28" xfId="26" applyFont="1" applyFill="1" applyBorder="1" applyAlignment="1">
      <alignment horizontal="center"/>
    </xf>
    <xf numFmtId="0" fontId="16" fillId="57" borderId="33" xfId="26" applyFont="1" applyFill="1" applyBorder="1" applyAlignment="1">
      <alignment horizontal="center"/>
    </xf>
    <xf numFmtId="0" fontId="16" fillId="57" borderId="22" xfId="26" applyFont="1" applyFill="1" applyBorder="1" applyAlignment="1">
      <alignment horizontal="center" vertical="center"/>
    </xf>
    <xf numFmtId="0" fontId="16" fillId="57" borderId="23" xfId="26" applyFont="1" applyFill="1" applyBorder="1" applyAlignment="1">
      <alignment horizontal="center" vertical="center"/>
    </xf>
    <xf numFmtId="0" fontId="16" fillId="57" borderId="27" xfId="26" applyFont="1" applyFill="1" applyBorder="1" applyAlignment="1">
      <alignment horizontal="center" vertical="center"/>
    </xf>
    <xf numFmtId="0" fontId="16" fillId="57" borderId="28" xfId="26" applyFont="1" applyFill="1" applyBorder="1" applyAlignment="1">
      <alignment horizontal="center" vertical="center"/>
    </xf>
    <xf numFmtId="0" fontId="46" fillId="57" borderId="24" xfId="26" applyFont="1" applyFill="1" applyBorder="1" applyAlignment="1">
      <alignment horizontal="center" vertical="center" wrapText="1"/>
    </xf>
    <xf numFmtId="0" fontId="46" fillId="57" borderId="26" xfId="26" applyFont="1" applyFill="1" applyBorder="1" applyAlignment="1">
      <alignment horizontal="center" vertical="center" wrapText="1"/>
    </xf>
    <xf numFmtId="0" fontId="46" fillId="57" borderId="33" xfId="26" applyFont="1" applyFill="1" applyBorder="1" applyAlignment="1">
      <alignment horizontal="center" vertical="center" wrapText="1"/>
    </xf>
    <xf numFmtId="0" fontId="16" fillId="57" borderId="29" xfId="26" applyFont="1" applyFill="1" applyBorder="1" applyAlignment="1">
      <alignment horizontal="center"/>
    </xf>
    <xf numFmtId="0" fontId="16" fillId="57" borderId="30" xfId="26" applyFont="1" applyFill="1" applyBorder="1" applyAlignment="1">
      <alignment horizontal="center"/>
    </xf>
    <xf numFmtId="0" fontId="16" fillId="57" borderId="32" xfId="26" applyFont="1" applyFill="1" applyBorder="1" applyAlignment="1">
      <alignment horizontal="center"/>
    </xf>
    <xf numFmtId="0" fontId="16" fillId="57" borderId="34" xfId="26" applyFont="1" applyFill="1" applyBorder="1" applyAlignment="1">
      <alignment horizontal="center" vertical="center"/>
    </xf>
    <xf numFmtId="0" fontId="16" fillId="57" borderId="35" xfId="26" applyFont="1" applyFill="1" applyBorder="1" applyAlignment="1">
      <alignment horizontal="center" vertical="center"/>
    </xf>
    <xf numFmtId="0" fontId="49" fillId="57" borderId="34" xfId="26" applyFont="1" applyFill="1" applyBorder="1" applyAlignment="1">
      <alignment horizontal="center" vertical="center"/>
    </xf>
    <xf numFmtId="0" fontId="49" fillId="57" borderId="35" xfId="26" applyFont="1" applyFill="1" applyBorder="1" applyAlignment="1">
      <alignment horizontal="center" vertical="center"/>
    </xf>
    <xf numFmtId="0" fontId="51" fillId="57" borderId="25" xfId="26" applyFont="1" applyFill="1" applyBorder="1" applyAlignment="1">
      <alignment horizontal="left" wrapText="1"/>
    </xf>
    <xf numFmtId="0" fontId="51" fillId="57" borderId="0" xfId="26" applyFont="1" applyFill="1" applyBorder="1" applyAlignment="1">
      <alignment horizontal="left" wrapText="1"/>
    </xf>
    <xf numFmtId="0" fontId="49" fillId="57" borderId="22" xfId="26" applyFont="1" applyFill="1" applyBorder="1" applyAlignment="1">
      <alignment horizontal="center"/>
    </xf>
    <xf numFmtId="0" fontId="49" fillId="57" borderId="23" xfId="26" applyFont="1" applyFill="1" applyBorder="1" applyAlignment="1">
      <alignment horizontal="center"/>
    </xf>
    <xf numFmtId="0" fontId="49" fillId="57" borderId="24" xfId="26" applyFont="1" applyFill="1" applyBorder="1" applyAlignment="1">
      <alignment horizontal="center"/>
    </xf>
    <xf numFmtId="0" fontId="49" fillId="57" borderId="25" xfId="26" applyFont="1" applyFill="1" applyBorder="1" applyAlignment="1">
      <alignment horizontal="center"/>
    </xf>
    <xf numFmtId="0" fontId="49" fillId="57" borderId="0" xfId="26" applyFont="1" applyFill="1" applyBorder="1" applyAlignment="1">
      <alignment horizontal="center"/>
    </xf>
    <xf numFmtId="0" fontId="49" fillId="57" borderId="26" xfId="26" applyFont="1" applyFill="1" applyBorder="1" applyAlignment="1">
      <alignment horizontal="center"/>
    </xf>
    <xf numFmtId="0" fontId="49" fillId="57" borderId="25" xfId="26" applyFont="1" applyFill="1" applyBorder="1" applyAlignment="1">
      <alignment horizontal="center" vertical="center"/>
    </xf>
    <xf numFmtId="0" fontId="49" fillId="57" borderId="0" xfId="26" applyFont="1" applyFill="1" applyBorder="1" applyAlignment="1">
      <alignment horizontal="center" vertical="center"/>
    </xf>
    <xf numFmtId="0" fontId="49" fillId="57" borderId="26" xfId="26" applyFont="1" applyFill="1" applyBorder="1" applyAlignment="1">
      <alignment horizontal="center" vertical="center"/>
    </xf>
    <xf numFmtId="0" fontId="49" fillId="57" borderId="27" xfId="26" applyFont="1" applyFill="1" applyBorder="1" applyAlignment="1">
      <alignment horizontal="center"/>
    </xf>
    <xf numFmtId="0" fontId="49" fillId="57" borderId="28" xfId="26" applyFont="1" applyFill="1" applyBorder="1" applyAlignment="1">
      <alignment horizontal="center"/>
    </xf>
    <xf numFmtId="0" fontId="49" fillId="57" borderId="33" xfId="26" applyFont="1" applyFill="1" applyBorder="1" applyAlignment="1">
      <alignment horizontal="center"/>
    </xf>
    <xf numFmtId="0" fontId="49" fillId="57" borderId="22" xfId="26" applyFont="1" applyFill="1" applyBorder="1" applyAlignment="1">
      <alignment horizontal="center" vertical="center"/>
    </xf>
    <xf numFmtId="0" fontId="49" fillId="57" borderId="23" xfId="26" applyFont="1" applyFill="1" applyBorder="1" applyAlignment="1">
      <alignment horizontal="center" vertical="center"/>
    </xf>
    <xf numFmtId="0" fontId="49" fillId="57" borderId="27" xfId="26" applyFont="1" applyFill="1" applyBorder="1" applyAlignment="1">
      <alignment horizontal="center" vertical="center"/>
    </xf>
    <xf numFmtId="0" fontId="49" fillId="57" borderId="28" xfId="26" applyFont="1" applyFill="1" applyBorder="1" applyAlignment="1">
      <alignment horizontal="center" vertical="center"/>
    </xf>
    <xf numFmtId="0" fontId="50" fillId="57" borderId="24" xfId="26" applyFont="1" applyFill="1" applyBorder="1" applyAlignment="1">
      <alignment horizontal="center" vertical="center" wrapText="1"/>
    </xf>
    <xf numFmtId="0" fontId="50" fillId="57" borderId="26" xfId="26" applyFont="1" applyFill="1" applyBorder="1" applyAlignment="1">
      <alignment horizontal="center" vertical="center" wrapText="1"/>
    </xf>
    <xf numFmtId="0" fontId="50" fillId="57" borderId="33" xfId="26" applyFont="1" applyFill="1" applyBorder="1" applyAlignment="1">
      <alignment horizontal="center" vertical="center" wrapText="1"/>
    </xf>
    <xf numFmtId="0" fontId="49" fillId="57" borderId="29" xfId="26" applyFont="1" applyFill="1" applyBorder="1" applyAlignment="1">
      <alignment horizontal="center"/>
    </xf>
    <xf numFmtId="0" fontId="49" fillId="57" borderId="30" xfId="26" applyFont="1" applyFill="1" applyBorder="1" applyAlignment="1">
      <alignment horizontal="center"/>
    </xf>
    <xf numFmtId="0" fontId="49" fillId="57" borderId="32" xfId="26" applyFont="1" applyFill="1" applyBorder="1" applyAlignment="1">
      <alignment horizontal="center"/>
    </xf>
  </cellXfs>
  <cellStyles count="599">
    <cellStyle name="20% - Énfasis1" xfId="3" builtinId="30" customBuiltin="1"/>
    <cellStyle name="20% - Énfasis1 2" xfId="110"/>
    <cellStyle name="20% - Énfasis1 2 2" xfId="170"/>
    <cellStyle name="20% - Énfasis1 2 2 2" xfId="252"/>
    <cellStyle name="20% - Énfasis1 2 2 2 2" xfId="578"/>
    <cellStyle name="20% - Énfasis1 2 2 2 3" xfId="415"/>
    <cellStyle name="20% - Énfasis1 2 2 3" xfId="497"/>
    <cellStyle name="20% - Énfasis1 2 2 4" xfId="334"/>
    <cellStyle name="20% - Énfasis1 2 3" xfId="209"/>
    <cellStyle name="20% - Énfasis1 2 3 2" xfId="535"/>
    <cellStyle name="20% - Énfasis1 2 3 3" xfId="372"/>
    <cellStyle name="20% - Énfasis1 2 4" xfId="454"/>
    <cellStyle name="20% - Énfasis1 2 5" xfId="291"/>
    <cellStyle name="20% - Énfasis1 3" xfId="152"/>
    <cellStyle name="20% - Énfasis1 3 2" xfId="234"/>
    <cellStyle name="20% - Énfasis1 3 2 2" xfId="560"/>
    <cellStyle name="20% - Énfasis1 3 2 3" xfId="397"/>
    <cellStyle name="20% - Énfasis1 3 3" xfId="479"/>
    <cellStyle name="20% - Énfasis1 3 4" xfId="316"/>
    <cellStyle name="20% - Énfasis1 4" xfId="191"/>
    <cellStyle name="20% - Énfasis1 4 2" xfId="517"/>
    <cellStyle name="20% - Énfasis1 4 3" xfId="354"/>
    <cellStyle name="20% - Énfasis1 5" xfId="435"/>
    <cellStyle name="20% - Énfasis1 6" xfId="272"/>
    <cellStyle name="20% - Énfasis2" xfId="7" builtinId="34" customBuiltin="1"/>
    <cellStyle name="20% - Énfasis2 2" xfId="112"/>
    <cellStyle name="20% - Énfasis2 2 2" xfId="172"/>
    <cellStyle name="20% - Énfasis2 2 2 2" xfId="254"/>
    <cellStyle name="20% - Énfasis2 2 2 2 2" xfId="580"/>
    <cellStyle name="20% - Énfasis2 2 2 2 3" xfId="417"/>
    <cellStyle name="20% - Énfasis2 2 2 3" xfId="499"/>
    <cellStyle name="20% - Énfasis2 2 2 4" xfId="336"/>
    <cellStyle name="20% - Énfasis2 2 3" xfId="211"/>
    <cellStyle name="20% - Énfasis2 2 3 2" xfId="537"/>
    <cellStyle name="20% - Énfasis2 2 3 3" xfId="374"/>
    <cellStyle name="20% - Énfasis2 2 4" xfId="456"/>
    <cellStyle name="20% - Énfasis2 2 5" xfId="293"/>
    <cellStyle name="20% - Énfasis2 3" xfId="154"/>
    <cellStyle name="20% - Énfasis2 3 2" xfId="236"/>
    <cellStyle name="20% - Énfasis2 3 2 2" xfId="562"/>
    <cellStyle name="20% - Énfasis2 3 2 3" xfId="399"/>
    <cellStyle name="20% - Énfasis2 3 3" xfId="481"/>
    <cellStyle name="20% - Énfasis2 3 4" xfId="318"/>
    <cellStyle name="20% - Énfasis2 4" xfId="193"/>
    <cellStyle name="20% - Énfasis2 4 2" xfId="519"/>
    <cellStyle name="20% - Énfasis2 4 3" xfId="356"/>
    <cellStyle name="20% - Énfasis2 5" xfId="437"/>
    <cellStyle name="20% - Énfasis2 6" xfId="274"/>
    <cellStyle name="20% - Énfasis3" xfId="11" builtinId="38" customBuiltin="1"/>
    <cellStyle name="20% - Énfasis3 2" xfId="114"/>
    <cellStyle name="20% - Énfasis3 2 2" xfId="174"/>
    <cellStyle name="20% - Énfasis3 2 2 2" xfId="256"/>
    <cellStyle name="20% - Énfasis3 2 2 2 2" xfId="582"/>
    <cellStyle name="20% - Énfasis3 2 2 2 3" xfId="419"/>
    <cellStyle name="20% - Énfasis3 2 2 3" xfId="501"/>
    <cellStyle name="20% - Énfasis3 2 2 4" xfId="338"/>
    <cellStyle name="20% - Énfasis3 2 3" xfId="213"/>
    <cellStyle name="20% - Énfasis3 2 3 2" xfId="539"/>
    <cellStyle name="20% - Énfasis3 2 3 3" xfId="376"/>
    <cellStyle name="20% - Énfasis3 2 4" xfId="458"/>
    <cellStyle name="20% - Énfasis3 2 5" xfId="295"/>
    <cellStyle name="20% - Énfasis3 3" xfId="156"/>
    <cellStyle name="20% - Énfasis3 3 2" xfId="238"/>
    <cellStyle name="20% - Énfasis3 3 2 2" xfId="564"/>
    <cellStyle name="20% - Énfasis3 3 2 3" xfId="401"/>
    <cellStyle name="20% - Énfasis3 3 3" xfId="483"/>
    <cellStyle name="20% - Énfasis3 3 4" xfId="320"/>
    <cellStyle name="20% - Énfasis3 4" xfId="195"/>
    <cellStyle name="20% - Énfasis3 4 2" xfId="521"/>
    <cellStyle name="20% - Énfasis3 4 3" xfId="358"/>
    <cellStyle name="20% - Énfasis3 5" xfId="439"/>
    <cellStyle name="20% - Énfasis3 6" xfId="276"/>
    <cellStyle name="20% - Énfasis4" xfId="15" builtinId="42" customBuiltin="1"/>
    <cellStyle name="20% - Énfasis4 2" xfId="116"/>
    <cellStyle name="20% - Énfasis4 2 2" xfId="176"/>
    <cellStyle name="20% - Énfasis4 2 2 2" xfId="258"/>
    <cellStyle name="20% - Énfasis4 2 2 2 2" xfId="584"/>
    <cellStyle name="20% - Énfasis4 2 2 2 3" xfId="421"/>
    <cellStyle name="20% - Énfasis4 2 2 3" xfId="503"/>
    <cellStyle name="20% - Énfasis4 2 2 4" xfId="340"/>
    <cellStyle name="20% - Énfasis4 2 3" xfId="215"/>
    <cellStyle name="20% - Énfasis4 2 3 2" xfId="541"/>
    <cellStyle name="20% - Énfasis4 2 3 3" xfId="378"/>
    <cellStyle name="20% - Énfasis4 2 4" xfId="460"/>
    <cellStyle name="20% - Énfasis4 2 5" xfId="297"/>
    <cellStyle name="20% - Énfasis4 3" xfId="158"/>
    <cellStyle name="20% - Énfasis4 3 2" xfId="240"/>
    <cellStyle name="20% - Énfasis4 3 2 2" xfId="566"/>
    <cellStyle name="20% - Énfasis4 3 2 3" xfId="403"/>
    <cellStyle name="20% - Énfasis4 3 3" xfId="485"/>
    <cellStyle name="20% - Énfasis4 3 4" xfId="322"/>
    <cellStyle name="20% - Énfasis4 4" xfId="197"/>
    <cellStyle name="20% - Énfasis4 4 2" xfId="523"/>
    <cellStyle name="20% - Énfasis4 4 3" xfId="360"/>
    <cellStyle name="20% - Énfasis4 5" xfId="441"/>
    <cellStyle name="20% - Énfasis4 6" xfId="278"/>
    <cellStyle name="20% - Énfasis5" xfId="19" builtinId="46" customBuiltin="1"/>
    <cellStyle name="20% - Énfasis5 2" xfId="118"/>
    <cellStyle name="20% - Énfasis5 2 2" xfId="178"/>
    <cellStyle name="20% - Énfasis5 2 2 2" xfId="260"/>
    <cellStyle name="20% - Énfasis5 2 2 2 2" xfId="586"/>
    <cellStyle name="20% - Énfasis5 2 2 2 3" xfId="423"/>
    <cellStyle name="20% - Énfasis5 2 2 3" xfId="505"/>
    <cellStyle name="20% - Énfasis5 2 2 4" xfId="342"/>
    <cellStyle name="20% - Énfasis5 2 3" xfId="217"/>
    <cellStyle name="20% - Énfasis5 2 3 2" xfId="543"/>
    <cellStyle name="20% - Énfasis5 2 3 3" xfId="380"/>
    <cellStyle name="20% - Énfasis5 2 4" xfId="462"/>
    <cellStyle name="20% - Énfasis5 2 5" xfId="299"/>
    <cellStyle name="20% - Énfasis5 3" xfId="160"/>
    <cellStyle name="20% - Énfasis5 3 2" xfId="242"/>
    <cellStyle name="20% - Énfasis5 3 2 2" xfId="568"/>
    <cellStyle name="20% - Énfasis5 3 2 3" xfId="405"/>
    <cellStyle name="20% - Énfasis5 3 3" xfId="487"/>
    <cellStyle name="20% - Énfasis5 3 4" xfId="324"/>
    <cellStyle name="20% - Énfasis5 4" xfId="199"/>
    <cellStyle name="20% - Énfasis5 4 2" xfId="525"/>
    <cellStyle name="20% - Énfasis5 4 3" xfId="362"/>
    <cellStyle name="20% - Énfasis5 5" xfId="443"/>
    <cellStyle name="20% - Énfasis5 6" xfId="280"/>
    <cellStyle name="20% - Énfasis6" xfId="23" builtinId="50" customBuiltin="1"/>
    <cellStyle name="20% - Énfasis6 2" xfId="120"/>
    <cellStyle name="20% - Énfasis6 2 2" xfId="180"/>
    <cellStyle name="20% - Énfasis6 2 2 2" xfId="262"/>
    <cellStyle name="20% - Énfasis6 2 2 2 2" xfId="588"/>
    <cellStyle name="20% - Énfasis6 2 2 2 3" xfId="425"/>
    <cellStyle name="20% - Énfasis6 2 2 3" xfId="507"/>
    <cellStyle name="20% - Énfasis6 2 2 4" xfId="344"/>
    <cellStyle name="20% - Énfasis6 2 3" xfId="219"/>
    <cellStyle name="20% - Énfasis6 2 3 2" xfId="545"/>
    <cellStyle name="20% - Énfasis6 2 3 3" xfId="382"/>
    <cellStyle name="20% - Énfasis6 2 4" xfId="464"/>
    <cellStyle name="20% - Énfasis6 2 5" xfId="301"/>
    <cellStyle name="20% - Énfasis6 3" xfId="162"/>
    <cellStyle name="20% - Énfasis6 3 2" xfId="244"/>
    <cellStyle name="20% - Énfasis6 3 2 2" xfId="570"/>
    <cellStyle name="20% - Énfasis6 3 2 3" xfId="407"/>
    <cellStyle name="20% - Énfasis6 3 3" xfId="489"/>
    <cellStyle name="20% - Énfasis6 3 4" xfId="326"/>
    <cellStyle name="20% - Énfasis6 4" xfId="201"/>
    <cellStyle name="20% - Énfasis6 4 2" xfId="527"/>
    <cellStyle name="20% - Énfasis6 4 3" xfId="364"/>
    <cellStyle name="20% - Énfasis6 5" xfId="445"/>
    <cellStyle name="20% - Énfasis6 6" xfId="282"/>
    <cellStyle name="40% - Énfasis1" xfId="4" builtinId="31" customBuiltin="1"/>
    <cellStyle name="40% - Énfasis1 2" xfId="111"/>
    <cellStyle name="40% - Énfasis1 2 2" xfId="171"/>
    <cellStyle name="40% - Énfasis1 2 2 2" xfId="253"/>
    <cellStyle name="40% - Énfasis1 2 2 2 2" xfId="579"/>
    <cellStyle name="40% - Énfasis1 2 2 2 3" xfId="416"/>
    <cellStyle name="40% - Énfasis1 2 2 3" xfId="498"/>
    <cellStyle name="40% - Énfasis1 2 2 4" xfId="335"/>
    <cellStyle name="40% - Énfasis1 2 3" xfId="210"/>
    <cellStyle name="40% - Énfasis1 2 3 2" xfId="536"/>
    <cellStyle name="40% - Énfasis1 2 3 3" xfId="373"/>
    <cellStyle name="40% - Énfasis1 2 4" xfId="455"/>
    <cellStyle name="40% - Énfasis1 2 5" xfId="292"/>
    <cellStyle name="40% - Énfasis1 3" xfId="153"/>
    <cellStyle name="40% - Énfasis1 3 2" xfId="235"/>
    <cellStyle name="40% - Énfasis1 3 2 2" xfId="561"/>
    <cellStyle name="40% - Énfasis1 3 2 3" xfId="398"/>
    <cellStyle name="40% - Énfasis1 3 3" xfId="480"/>
    <cellStyle name="40% - Énfasis1 3 4" xfId="317"/>
    <cellStyle name="40% - Énfasis1 4" xfId="192"/>
    <cellStyle name="40% - Énfasis1 4 2" xfId="518"/>
    <cellStyle name="40% - Énfasis1 4 3" xfId="355"/>
    <cellStyle name="40% - Énfasis1 5" xfId="436"/>
    <cellStyle name="40% - Énfasis1 6" xfId="273"/>
    <cellStyle name="40% - Énfasis2" xfId="8" builtinId="35" customBuiltin="1"/>
    <cellStyle name="40% - Énfasis2 2" xfId="113"/>
    <cellStyle name="40% - Énfasis2 2 2" xfId="173"/>
    <cellStyle name="40% - Énfasis2 2 2 2" xfId="255"/>
    <cellStyle name="40% - Énfasis2 2 2 2 2" xfId="581"/>
    <cellStyle name="40% - Énfasis2 2 2 2 3" xfId="418"/>
    <cellStyle name="40% - Énfasis2 2 2 3" xfId="500"/>
    <cellStyle name="40% - Énfasis2 2 2 4" xfId="337"/>
    <cellStyle name="40% - Énfasis2 2 3" xfId="212"/>
    <cellStyle name="40% - Énfasis2 2 3 2" xfId="538"/>
    <cellStyle name="40% - Énfasis2 2 3 3" xfId="375"/>
    <cellStyle name="40% - Énfasis2 2 4" xfId="457"/>
    <cellStyle name="40% - Énfasis2 2 5" xfId="294"/>
    <cellStyle name="40% - Énfasis2 3" xfId="155"/>
    <cellStyle name="40% - Énfasis2 3 2" xfId="237"/>
    <cellStyle name="40% - Énfasis2 3 2 2" xfId="563"/>
    <cellStyle name="40% - Énfasis2 3 2 3" xfId="400"/>
    <cellStyle name="40% - Énfasis2 3 3" xfId="482"/>
    <cellStyle name="40% - Énfasis2 3 4" xfId="319"/>
    <cellStyle name="40% - Énfasis2 4" xfId="194"/>
    <cellStyle name="40% - Énfasis2 4 2" xfId="520"/>
    <cellStyle name="40% - Énfasis2 4 3" xfId="357"/>
    <cellStyle name="40% - Énfasis2 5" xfId="438"/>
    <cellStyle name="40% - Énfasis2 6" xfId="275"/>
    <cellStyle name="40% - Énfasis3" xfId="12" builtinId="39" customBuiltin="1"/>
    <cellStyle name="40% - Énfasis3 2" xfId="115"/>
    <cellStyle name="40% - Énfasis3 2 2" xfId="175"/>
    <cellStyle name="40% - Énfasis3 2 2 2" xfId="257"/>
    <cellStyle name="40% - Énfasis3 2 2 2 2" xfId="583"/>
    <cellStyle name="40% - Énfasis3 2 2 2 3" xfId="420"/>
    <cellStyle name="40% - Énfasis3 2 2 3" xfId="502"/>
    <cellStyle name="40% - Énfasis3 2 2 4" xfId="339"/>
    <cellStyle name="40% - Énfasis3 2 3" xfId="214"/>
    <cellStyle name="40% - Énfasis3 2 3 2" xfId="540"/>
    <cellStyle name="40% - Énfasis3 2 3 3" xfId="377"/>
    <cellStyle name="40% - Énfasis3 2 4" xfId="459"/>
    <cellStyle name="40% - Énfasis3 2 5" xfId="296"/>
    <cellStyle name="40% - Énfasis3 3" xfId="157"/>
    <cellStyle name="40% - Énfasis3 3 2" xfId="239"/>
    <cellStyle name="40% - Énfasis3 3 2 2" xfId="565"/>
    <cellStyle name="40% - Énfasis3 3 2 3" xfId="402"/>
    <cellStyle name="40% - Énfasis3 3 3" xfId="484"/>
    <cellStyle name="40% - Énfasis3 3 4" xfId="321"/>
    <cellStyle name="40% - Énfasis3 4" xfId="196"/>
    <cellStyle name="40% - Énfasis3 4 2" xfId="522"/>
    <cellStyle name="40% - Énfasis3 4 3" xfId="359"/>
    <cellStyle name="40% - Énfasis3 5" xfId="440"/>
    <cellStyle name="40% - Énfasis3 6" xfId="277"/>
    <cellStyle name="40% - Énfasis4" xfId="16" builtinId="43" customBuiltin="1"/>
    <cellStyle name="40% - Énfasis4 2" xfId="117"/>
    <cellStyle name="40% - Énfasis4 2 2" xfId="177"/>
    <cellStyle name="40% - Énfasis4 2 2 2" xfId="259"/>
    <cellStyle name="40% - Énfasis4 2 2 2 2" xfId="585"/>
    <cellStyle name="40% - Énfasis4 2 2 2 3" xfId="422"/>
    <cellStyle name="40% - Énfasis4 2 2 3" xfId="504"/>
    <cellStyle name="40% - Énfasis4 2 2 4" xfId="341"/>
    <cellStyle name="40% - Énfasis4 2 3" xfId="216"/>
    <cellStyle name="40% - Énfasis4 2 3 2" xfId="542"/>
    <cellStyle name="40% - Énfasis4 2 3 3" xfId="379"/>
    <cellStyle name="40% - Énfasis4 2 4" xfId="461"/>
    <cellStyle name="40% - Énfasis4 2 5" xfId="298"/>
    <cellStyle name="40% - Énfasis4 3" xfId="159"/>
    <cellStyle name="40% - Énfasis4 3 2" xfId="241"/>
    <cellStyle name="40% - Énfasis4 3 2 2" xfId="567"/>
    <cellStyle name="40% - Énfasis4 3 2 3" xfId="404"/>
    <cellStyle name="40% - Énfasis4 3 3" xfId="486"/>
    <cellStyle name="40% - Énfasis4 3 4" xfId="323"/>
    <cellStyle name="40% - Énfasis4 4" xfId="198"/>
    <cellStyle name="40% - Énfasis4 4 2" xfId="524"/>
    <cellStyle name="40% - Énfasis4 4 3" xfId="361"/>
    <cellStyle name="40% - Énfasis4 5" xfId="442"/>
    <cellStyle name="40% - Énfasis4 6" xfId="279"/>
    <cellStyle name="40% - Énfasis5" xfId="20" builtinId="47" customBuiltin="1"/>
    <cellStyle name="40% - Énfasis5 2" xfId="119"/>
    <cellStyle name="40% - Énfasis5 2 2" xfId="179"/>
    <cellStyle name="40% - Énfasis5 2 2 2" xfId="261"/>
    <cellStyle name="40% - Énfasis5 2 2 2 2" xfId="587"/>
    <cellStyle name="40% - Énfasis5 2 2 2 3" xfId="424"/>
    <cellStyle name="40% - Énfasis5 2 2 3" xfId="506"/>
    <cellStyle name="40% - Énfasis5 2 2 4" xfId="343"/>
    <cellStyle name="40% - Énfasis5 2 3" xfId="218"/>
    <cellStyle name="40% - Énfasis5 2 3 2" xfId="544"/>
    <cellStyle name="40% - Énfasis5 2 3 3" xfId="381"/>
    <cellStyle name="40% - Énfasis5 2 4" xfId="463"/>
    <cellStyle name="40% - Énfasis5 2 5" xfId="300"/>
    <cellStyle name="40% - Énfasis5 3" xfId="161"/>
    <cellStyle name="40% - Énfasis5 3 2" xfId="243"/>
    <cellStyle name="40% - Énfasis5 3 2 2" xfId="569"/>
    <cellStyle name="40% - Énfasis5 3 2 3" xfId="406"/>
    <cellStyle name="40% - Énfasis5 3 3" xfId="488"/>
    <cellStyle name="40% - Énfasis5 3 4" xfId="325"/>
    <cellStyle name="40% - Énfasis5 4" xfId="200"/>
    <cellStyle name="40% - Énfasis5 4 2" xfId="526"/>
    <cellStyle name="40% - Énfasis5 4 3" xfId="363"/>
    <cellStyle name="40% - Énfasis5 5" xfId="444"/>
    <cellStyle name="40% - Énfasis5 6" xfId="281"/>
    <cellStyle name="40% - Énfasis6" xfId="24" builtinId="51" customBuiltin="1"/>
    <cellStyle name="40% - Énfasis6 2" xfId="121"/>
    <cellStyle name="40% - Énfasis6 2 2" xfId="181"/>
    <cellStyle name="40% - Énfasis6 2 2 2" xfId="263"/>
    <cellStyle name="40% - Énfasis6 2 2 2 2" xfId="589"/>
    <cellStyle name="40% - Énfasis6 2 2 2 3" xfId="426"/>
    <cellStyle name="40% - Énfasis6 2 2 3" xfId="508"/>
    <cellStyle name="40% - Énfasis6 2 2 4" xfId="345"/>
    <cellStyle name="40% - Énfasis6 2 3" xfId="220"/>
    <cellStyle name="40% - Énfasis6 2 3 2" xfId="546"/>
    <cellStyle name="40% - Énfasis6 2 3 3" xfId="383"/>
    <cellStyle name="40% - Énfasis6 2 4" xfId="465"/>
    <cellStyle name="40% - Énfasis6 2 5" xfId="302"/>
    <cellStyle name="40% - Énfasis6 3" xfId="163"/>
    <cellStyle name="40% - Énfasis6 3 2" xfId="245"/>
    <cellStyle name="40% - Énfasis6 3 2 2" xfId="571"/>
    <cellStyle name="40% - Énfasis6 3 2 3" xfId="408"/>
    <cellStyle name="40% - Énfasis6 3 3" xfId="490"/>
    <cellStyle name="40% - Énfasis6 3 4" xfId="327"/>
    <cellStyle name="40% - Énfasis6 4" xfId="202"/>
    <cellStyle name="40% - Énfasis6 4 2" xfId="528"/>
    <cellStyle name="40% - Énfasis6 4 3" xfId="365"/>
    <cellStyle name="40% - Énfasis6 5" xfId="446"/>
    <cellStyle name="40% - Énfasis6 6" xfId="283"/>
    <cellStyle name="60% - Énfasis1" xfId="5" builtinId="32" customBuiltin="1"/>
    <cellStyle name="60% - Énfasis2" xfId="9" builtinId="36" customBuiltin="1"/>
    <cellStyle name="60% - Énfasis3" xfId="13" builtinId="40" customBuiltin="1"/>
    <cellStyle name="60% - Énfasis4" xfId="17" builtinId="44" customBuiltin="1"/>
    <cellStyle name="60% - Énfasis5" xfId="21" builtinId="48" customBuiltin="1"/>
    <cellStyle name="60% - Énfasis6" xfId="25" builtinId="52" customBuiltin="1"/>
    <cellStyle name="Buena 2" xfId="96"/>
    <cellStyle name="Buena 3" xfId="127"/>
    <cellStyle name="Buena 4" xfId="31"/>
    <cellStyle name="Cálculo 2" xfId="101"/>
    <cellStyle name="Cálculo 3" xfId="132"/>
    <cellStyle name="Cálculo 4" xfId="36"/>
    <cellStyle name="Celda de comprobación 2" xfId="103"/>
    <cellStyle name="Celda de comprobación 3" xfId="134"/>
    <cellStyle name="Celda de comprobación 4" xfId="38"/>
    <cellStyle name="Celda vinculada 2" xfId="102"/>
    <cellStyle name="Celda vinculada 3" xfId="133"/>
    <cellStyle name="Celda vinculada 4" xfId="37"/>
    <cellStyle name="Encabezado 4 2" xfId="95"/>
    <cellStyle name="Encabezado 4 3" xfId="126"/>
    <cellStyle name="Encabezado 4 4" xfId="30"/>
    <cellStyle name="Énfasis1" xfId="2" builtinId="29" customBuiltin="1"/>
    <cellStyle name="Énfasis2" xfId="6" builtinId="33" customBuiltin="1"/>
    <cellStyle name="Énfasis3" xfId="10" builtinId="37" customBuiltin="1"/>
    <cellStyle name="Énfasis4" xfId="14" builtinId="41" customBuiltin="1"/>
    <cellStyle name="Énfasis5" xfId="18" builtinId="45" customBuiltin="1"/>
    <cellStyle name="Énfasis6" xfId="22" builtinId="49" customBuiltin="1"/>
    <cellStyle name="Entrada 2" xfId="99"/>
    <cellStyle name="Entrada 3" xfId="130"/>
    <cellStyle name="Entrada 4" xfId="34"/>
    <cellStyle name="Incorrecto 2" xfId="97"/>
    <cellStyle name="Incorrecto 3" xfId="128"/>
    <cellStyle name="Incorrecto 4" xfId="32"/>
    <cellStyle name="Millares" xfId="597" builtinId="3"/>
    <cellStyle name="Neutral 2" xfId="98"/>
    <cellStyle name="Neutral 3" xfId="129"/>
    <cellStyle name="Neutral 4" xfId="33"/>
    <cellStyle name="Normal" xfId="0" builtinId="0"/>
    <cellStyle name="Normal 2" xfId="90"/>
    <cellStyle name="Normal 2 2" xfId="141"/>
    <cellStyle name="Normal 2 2 2" xfId="185"/>
    <cellStyle name="Normal 2 2 2 2" xfId="266"/>
    <cellStyle name="Normal 2 2 2 2 2" xfId="592"/>
    <cellStyle name="Normal 2 2 2 2 3" xfId="429"/>
    <cellStyle name="Normal 2 2 2 3" xfId="511"/>
    <cellStyle name="Normal 2 2 2 4" xfId="348"/>
    <cellStyle name="Normal 2 2 3" xfId="223"/>
    <cellStyle name="Normal 2 2 3 2" xfId="549"/>
    <cellStyle name="Normal 2 2 3 3" xfId="386"/>
    <cellStyle name="Normal 2 2 4" xfId="468"/>
    <cellStyle name="Normal 2 2 5" xfId="305"/>
    <cellStyle name="Normal 2 3" xfId="166"/>
    <cellStyle name="Normal 2 3 2" xfId="248"/>
    <cellStyle name="Normal 2 3 2 2" xfId="574"/>
    <cellStyle name="Normal 2 3 2 3" xfId="411"/>
    <cellStyle name="Normal 2 3 3" xfId="493"/>
    <cellStyle name="Normal 2 3 4" xfId="330"/>
    <cellStyle name="Normal 2 4" xfId="146"/>
    <cellStyle name="Normal 2 4 2" xfId="228"/>
    <cellStyle name="Normal 2 4 2 2" xfId="554"/>
    <cellStyle name="Normal 2 4 2 3" xfId="391"/>
    <cellStyle name="Normal 2 4 3" xfId="473"/>
    <cellStyle name="Normal 2 4 4" xfId="310"/>
    <cellStyle name="Normal 2 5" xfId="205"/>
    <cellStyle name="Normal 2 5 2" xfId="531"/>
    <cellStyle name="Normal 2 5 3" xfId="368"/>
    <cellStyle name="Normal 2 6" xfId="450"/>
    <cellStyle name="Normal 2 7" xfId="287"/>
    <cellStyle name="Normal 3" xfId="43"/>
    <cellStyle name="Normal 3 2" xfId="89"/>
    <cellStyle name="Normal 3 2 2" xfId="140"/>
    <cellStyle name="Normal 3 2 2 2" xfId="184"/>
    <cellStyle name="Normal 3 2 2 2 2" xfId="265"/>
    <cellStyle name="Normal 3 2 2 2 2 2" xfId="591"/>
    <cellStyle name="Normal 3 2 2 2 2 3" xfId="428"/>
    <cellStyle name="Normal 3 2 2 2 3" xfId="510"/>
    <cellStyle name="Normal 3 2 2 2 4" xfId="347"/>
    <cellStyle name="Normal 3 2 2 3" xfId="222"/>
    <cellStyle name="Normal 3 2 2 3 2" xfId="548"/>
    <cellStyle name="Normal 3 2 2 3 3" xfId="385"/>
    <cellStyle name="Normal 3 2 2 4" xfId="467"/>
    <cellStyle name="Normal 3 2 2 5" xfId="304"/>
    <cellStyle name="Normal 3 2 3" xfId="165"/>
    <cellStyle name="Normal 3 2 3 2" xfId="247"/>
    <cellStyle name="Normal 3 2 3 2 2" xfId="573"/>
    <cellStyle name="Normal 3 2 3 2 3" xfId="410"/>
    <cellStyle name="Normal 3 2 3 3" xfId="492"/>
    <cellStyle name="Normal 3 2 3 4" xfId="329"/>
    <cellStyle name="Normal 3 2 4" xfId="151"/>
    <cellStyle name="Normal 3 2 4 2" xfId="233"/>
    <cellStyle name="Normal 3 2 4 2 2" xfId="559"/>
    <cellStyle name="Normal 3 2 4 2 3" xfId="396"/>
    <cellStyle name="Normal 3 2 4 3" xfId="478"/>
    <cellStyle name="Normal 3 2 4 4" xfId="315"/>
    <cellStyle name="Normal 3 2 5" xfId="204"/>
    <cellStyle name="Normal 3 2 5 2" xfId="530"/>
    <cellStyle name="Normal 3 2 5 3" xfId="367"/>
    <cellStyle name="Normal 3 2 6" xfId="449"/>
    <cellStyle name="Normal 3 2 7" xfId="286"/>
    <cellStyle name="Normal 3 3" xfId="139"/>
    <cellStyle name="Normal 3 3 2" xfId="183"/>
    <cellStyle name="Normal 3 3 2 2" xfId="264"/>
    <cellStyle name="Normal 3 3 2 2 2" xfId="590"/>
    <cellStyle name="Normal 3 3 2 2 3" xfId="427"/>
    <cellStyle name="Normal 3 3 2 3" xfId="509"/>
    <cellStyle name="Normal 3 3 2 4" xfId="346"/>
    <cellStyle name="Normal 3 3 3" xfId="150"/>
    <cellStyle name="Normal 3 3 3 2" xfId="232"/>
    <cellStyle name="Normal 3 3 3 2 2" xfId="558"/>
    <cellStyle name="Normal 3 3 3 2 3" xfId="395"/>
    <cellStyle name="Normal 3 3 3 3" xfId="477"/>
    <cellStyle name="Normal 3 3 3 4" xfId="314"/>
    <cellStyle name="Normal 3 3 4" xfId="221"/>
    <cellStyle name="Normal 3 3 4 2" xfId="547"/>
    <cellStyle name="Normal 3 3 4 3" xfId="384"/>
    <cellStyle name="Normal 3 3 5" xfId="466"/>
    <cellStyle name="Normal 3 3 6" xfId="303"/>
    <cellStyle name="Normal 3 4" xfId="88"/>
    <cellStyle name="Normal 3 4 2" xfId="164"/>
    <cellStyle name="Normal 3 4 2 2" xfId="246"/>
    <cellStyle name="Normal 3 4 2 2 2" xfId="572"/>
    <cellStyle name="Normal 3 4 2 2 3" xfId="409"/>
    <cellStyle name="Normal 3 4 2 3" xfId="491"/>
    <cellStyle name="Normal 3 4 2 4" xfId="328"/>
    <cellStyle name="Normal 3 4 3" xfId="203"/>
    <cellStyle name="Normal 3 4 3 2" xfId="529"/>
    <cellStyle name="Normal 3 4 3 3" xfId="366"/>
    <cellStyle name="Normal 3 4 4" xfId="448"/>
    <cellStyle name="Normal 3 4 5" xfId="285"/>
    <cellStyle name="Normal 3 5" xfId="147"/>
    <cellStyle name="Normal 3 5 2" xfId="229"/>
    <cellStyle name="Normal 3 5 2 2" xfId="555"/>
    <cellStyle name="Normal 3 5 2 3" xfId="392"/>
    <cellStyle name="Normal 3 5 3" xfId="474"/>
    <cellStyle name="Normal 3 5 4" xfId="311"/>
    <cellStyle name="Normal 3 6" xfId="190"/>
    <cellStyle name="Normal 3 6 2" xfId="516"/>
    <cellStyle name="Normal 3 6 3" xfId="353"/>
    <cellStyle name="Normal 3 7" xfId="87"/>
    <cellStyle name="Normal 3 7 2" xfId="447"/>
    <cellStyle name="Normal 3 7 3" xfId="284"/>
    <cellStyle name="Normal 3 8" xfId="434"/>
    <cellStyle name="Normal 3 9" xfId="271"/>
    <cellStyle name="Normal 4" xfId="122"/>
    <cellStyle name="Normal 4 2" xfId="182"/>
    <cellStyle name="Normal 4 3" xfId="148"/>
    <cellStyle name="Normal 4 3 2" xfId="230"/>
    <cellStyle name="Normal 4 3 2 2" xfId="556"/>
    <cellStyle name="Normal 4 3 2 3" xfId="393"/>
    <cellStyle name="Normal 4 3 3" xfId="475"/>
    <cellStyle name="Normal 4 3 4" xfId="312"/>
    <cellStyle name="Normal 5" xfId="108"/>
    <cellStyle name="Normal 5 2" xfId="143"/>
    <cellStyle name="Normal 5 2 2" xfId="187"/>
    <cellStyle name="Normal 5 2 2 2" xfId="268"/>
    <cellStyle name="Normal 5 2 2 2 2" xfId="594"/>
    <cellStyle name="Normal 5 2 2 2 3" xfId="431"/>
    <cellStyle name="Normal 5 2 2 3" xfId="513"/>
    <cellStyle name="Normal 5 2 2 4" xfId="350"/>
    <cellStyle name="Normal 5 2 3" xfId="225"/>
    <cellStyle name="Normal 5 2 3 2" xfId="551"/>
    <cellStyle name="Normal 5 2 3 3" xfId="388"/>
    <cellStyle name="Normal 5 2 4" xfId="470"/>
    <cellStyle name="Normal 5 2 5" xfId="307"/>
    <cellStyle name="Normal 5 3" xfId="145"/>
    <cellStyle name="Normal 5 3 2" xfId="189"/>
    <cellStyle name="Normal 5 3 2 2" xfId="270"/>
    <cellStyle name="Normal 5 3 2 2 2" xfId="596"/>
    <cellStyle name="Normal 5 3 2 2 3" xfId="433"/>
    <cellStyle name="Normal 5 3 2 3" xfId="515"/>
    <cellStyle name="Normal 5 3 2 4" xfId="352"/>
    <cellStyle name="Normal 5 3 3" xfId="227"/>
    <cellStyle name="Normal 5 3 3 2" xfId="553"/>
    <cellStyle name="Normal 5 3 3 3" xfId="390"/>
    <cellStyle name="Normal 5 3 4" xfId="472"/>
    <cellStyle name="Normal 5 3 5" xfId="309"/>
    <cellStyle name="Normal 5 4" xfId="168"/>
    <cellStyle name="Normal 5 4 2" xfId="250"/>
    <cellStyle name="Normal 5 4 2 2" xfId="576"/>
    <cellStyle name="Normal 5 4 2 3" xfId="413"/>
    <cellStyle name="Normal 5 4 3" xfId="495"/>
    <cellStyle name="Normal 5 4 4" xfId="332"/>
    <cellStyle name="Normal 5 5" xfId="149"/>
    <cellStyle name="Normal 5 5 2" xfId="231"/>
    <cellStyle name="Normal 5 5 2 2" xfId="557"/>
    <cellStyle name="Normal 5 5 2 3" xfId="394"/>
    <cellStyle name="Normal 5 5 3" xfId="476"/>
    <cellStyle name="Normal 5 5 4" xfId="313"/>
    <cellStyle name="Normal 5 6" xfId="207"/>
    <cellStyle name="Normal 5 6 2" xfId="533"/>
    <cellStyle name="Normal 5 6 3" xfId="370"/>
    <cellStyle name="Normal 5 7" xfId="452"/>
    <cellStyle name="Normal 5 8" xfId="289"/>
    <cellStyle name="Normal 6" xfId="144"/>
    <cellStyle name="Normal 6 2" xfId="188"/>
    <cellStyle name="Normal 6 2 2" xfId="269"/>
    <cellStyle name="Normal 6 2 2 2" xfId="595"/>
    <cellStyle name="Normal 6 2 2 3" xfId="432"/>
    <cellStyle name="Normal 6 2 3" xfId="514"/>
    <cellStyle name="Normal 6 2 4" xfId="351"/>
    <cellStyle name="Normal 6 3" xfId="226"/>
    <cellStyle name="Normal 6 3 2" xfId="552"/>
    <cellStyle name="Normal 6 3 3" xfId="389"/>
    <cellStyle name="Normal 6 4" xfId="471"/>
    <cellStyle name="Normal 6 5" xfId="308"/>
    <cellStyle name="Normal 7" xfId="84"/>
    <cellStyle name="Normal 8" xfId="26"/>
    <cellStyle name="Normal 9" xfId="598"/>
    <cellStyle name="Notas 2" xfId="105"/>
    <cellStyle name="Notas 2 2" xfId="142"/>
    <cellStyle name="Notas 2 2 2" xfId="186"/>
    <cellStyle name="Notas 2 2 2 2" xfId="267"/>
    <cellStyle name="Notas 2 2 2 2 2" xfId="593"/>
    <cellStyle name="Notas 2 2 2 2 3" xfId="430"/>
    <cellStyle name="Notas 2 2 2 3" xfId="512"/>
    <cellStyle name="Notas 2 2 2 4" xfId="349"/>
    <cellStyle name="Notas 2 2 3" xfId="224"/>
    <cellStyle name="Notas 2 2 3 2" xfId="550"/>
    <cellStyle name="Notas 2 2 3 3" xfId="387"/>
    <cellStyle name="Notas 2 2 4" xfId="469"/>
    <cellStyle name="Notas 2 2 5" xfId="306"/>
    <cellStyle name="Notas 2 3" xfId="167"/>
    <cellStyle name="Notas 2 3 2" xfId="249"/>
    <cellStyle name="Notas 2 3 2 2" xfId="575"/>
    <cellStyle name="Notas 2 3 2 3" xfId="412"/>
    <cellStyle name="Notas 2 3 3" xfId="494"/>
    <cellStyle name="Notas 2 3 4" xfId="331"/>
    <cellStyle name="Notas 2 4" xfId="206"/>
    <cellStyle name="Notas 2 4 2" xfId="532"/>
    <cellStyle name="Notas 2 4 3" xfId="369"/>
    <cellStyle name="Notas 2 5" xfId="451"/>
    <cellStyle name="Notas 2 6" xfId="288"/>
    <cellStyle name="Notas 3" xfId="136"/>
    <cellStyle name="Notas 4" xfId="109"/>
    <cellStyle name="Notas 4 2" xfId="169"/>
    <cellStyle name="Notas 4 2 2" xfId="251"/>
    <cellStyle name="Notas 4 2 2 2" xfId="577"/>
    <cellStyle name="Notas 4 2 2 3" xfId="414"/>
    <cellStyle name="Notas 4 2 3" xfId="496"/>
    <cellStyle name="Notas 4 2 4" xfId="333"/>
    <cellStyle name="Notas 4 3" xfId="208"/>
    <cellStyle name="Notas 4 3 2" xfId="534"/>
    <cellStyle name="Notas 4 3 3" xfId="371"/>
    <cellStyle name="Notas 4 4" xfId="453"/>
    <cellStyle name="Notas 4 5" xfId="290"/>
    <cellStyle name="Notas 5" xfId="40"/>
    <cellStyle name="Salida 2" xfId="100"/>
    <cellStyle name="Salida 3" xfId="131"/>
    <cellStyle name="Salida 4" xfId="35"/>
    <cellStyle name="SAPBEXaggData" xfId="44"/>
    <cellStyle name="SAPBEXaggDataEmph" xfId="45"/>
    <cellStyle name="SAPBEXaggItem" xfId="46"/>
    <cellStyle name="SAPBEXaggItemX" xfId="47"/>
    <cellStyle name="SAPBEXchaText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tem" xfId="59"/>
    <cellStyle name="SAPBEXfilterText" xfId="60"/>
    <cellStyle name="SAPBEXformats" xfId="61"/>
    <cellStyle name="SAPBEXheaderItem" xfId="62"/>
    <cellStyle name="SAPBEXheaderItem 2" xfId="85"/>
    <cellStyle name="SAPBEXheaderText" xfId="63"/>
    <cellStyle name="SAPBEXheaderText 2" xfId="86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inputData" xfId="72"/>
    <cellStyle name="SAPBEXresData" xfId="73"/>
    <cellStyle name="SAPBEXresDataEmph" xfId="74"/>
    <cellStyle name="SAPBEXresItem" xfId="75"/>
    <cellStyle name="SAPBEXresItemX" xfId="76"/>
    <cellStyle name="SAPBEXstdData" xfId="77"/>
    <cellStyle name="SAPBEXstdDataEmph" xfId="78"/>
    <cellStyle name="SAPBEXstdItem" xfId="79"/>
    <cellStyle name="SAPBEXstdItemX" xfId="80"/>
    <cellStyle name="SAPBEXtitle" xfId="81"/>
    <cellStyle name="SAPBEXundefined" xfId="82"/>
    <cellStyle name="Sheet Title" xfId="83"/>
    <cellStyle name="Texto de advertencia 2" xfId="104"/>
    <cellStyle name="Texto de advertencia 3" xfId="135"/>
    <cellStyle name="Texto de advertencia 4" xfId="39"/>
    <cellStyle name="Texto explicativo 2" xfId="106"/>
    <cellStyle name="Texto explicativo 3" xfId="137"/>
    <cellStyle name="Texto explicativo 4" xfId="41"/>
    <cellStyle name="Título" xfId="1" builtinId="15" customBuiltin="1"/>
    <cellStyle name="Título 1 2" xfId="92"/>
    <cellStyle name="Título 1 3" xfId="123"/>
    <cellStyle name="Título 1 4" xfId="27"/>
    <cellStyle name="Título 2 2" xfId="93"/>
    <cellStyle name="Título 2 3" xfId="124"/>
    <cellStyle name="Título 2 4" xfId="28"/>
    <cellStyle name="Título 3 2" xfId="94"/>
    <cellStyle name="Título 3 3" xfId="125"/>
    <cellStyle name="Título 3 4" xfId="29"/>
    <cellStyle name="Título 4" xfId="91"/>
    <cellStyle name="Total 2" xfId="107"/>
    <cellStyle name="Total 3" xfId="138"/>
    <cellStyle name="Total 4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59530</xdr:colOff>
      <xdr:row>2</xdr:row>
      <xdr:rowOff>40408</xdr:rowOff>
    </xdr:from>
    <xdr:to>
      <xdr:col>1</xdr:col>
      <xdr:colOff>790575</xdr:colOff>
      <xdr:row>5</xdr:row>
      <xdr:rowOff>387520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" y="240433"/>
          <a:ext cx="988220" cy="975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2</xdr:row>
      <xdr:rowOff>21358</xdr:rowOff>
    </xdr:from>
    <xdr:to>
      <xdr:col>1</xdr:col>
      <xdr:colOff>718352</xdr:colOff>
      <xdr:row>5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221383"/>
          <a:ext cx="858846" cy="769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2</xdr:row>
      <xdr:rowOff>68982</xdr:rowOff>
    </xdr:from>
    <xdr:to>
      <xdr:col>1</xdr:col>
      <xdr:colOff>990601</xdr:colOff>
      <xdr:row>5</xdr:row>
      <xdr:rowOff>416094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269007"/>
          <a:ext cx="1026320" cy="975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49934</xdr:rowOff>
    </xdr:from>
    <xdr:to>
      <xdr:col>1</xdr:col>
      <xdr:colOff>535369</xdr:colOff>
      <xdr:row>5</xdr:row>
      <xdr:rowOff>180975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9959"/>
          <a:ext cx="697294" cy="7025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1387475</xdr:colOff>
      <xdr:row>35</xdr:row>
      <xdr:rowOff>177800</xdr:rowOff>
    </xdr:to>
    <xdr:pic macro="[1]!DesignIconClicked">
      <xdr:nvPicPr>
        <xdr:cNvPr id="2" name="BExZM4EI5U4GH6RP0ZB3XZXM51C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26850" cy="684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BExGetData"/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2" workbookViewId="0">
      <selection activeCell="A2" sqref="A2"/>
    </sheetView>
  </sheetViews>
  <sheetFormatPr baseColWidth="10" defaultRowHeight="15" x14ac:dyDescent="0.25"/>
  <cols>
    <col min="1" max="1" width="3.85546875" style="18" customWidth="1"/>
    <col min="2" max="2" width="50.140625" style="18" customWidth="1"/>
    <col min="3" max="3" width="19.140625" style="18" hidden="1" customWidth="1"/>
    <col min="4" max="4" width="17.42578125" style="18" bestFit="1" customWidth="1"/>
    <col min="5" max="5" width="17" style="18" bestFit="1" customWidth="1"/>
    <col min="6" max="8" width="17.42578125" style="18" bestFit="1" customWidth="1"/>
    <col min="9" max="9" width="14.7109375" style="18" bestFit="1" customWidth="1"/>
    <col min="10" max="16384" width="11.42578125" style="18"/>
  </cols>
  <sheetData>
    <row r="1" spans="1:9" s="17" customFormat="1" ht="12.75" hidden="1" x14ac:dyDescent="0.2">
      <c r="A1" s="15" t="s">
        <v>81</v>
      </c>
      <c r="B1" s="16"/>
      <c r="C1" s="15" t="s">
        <v>82</v>
      </c>
      <c r="E1" s="15" t="s">
        <v>83</v>
      </c>
      <c r="F1" s="17" t="str">
        <f>IF(AND(LEN(E1)&gt;0,LEN(E1)&lt;=2),MID(E1,1,2),MID(E1,1,FIND(".",E1)-1))</f>
        <v>1</v>
      </c>
      <c r="G1" s="17" t="str">
        <f>IF(LEN(E1)&gt;2,MID(E1,FIND(".",E1)+2,2),0)</f>
        <v>16</v>
      </c>
      <c r="H1" s="17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s="17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Diciembre</v>
      </c>
    </row>
    <row r="2" spans="1:9" ht="15.75" thickBot="1" x14ac:dyDescent="0.3"/>
    <row r="3" spans="1:9" ht="18.75" x14ac:dyDescent="0.3">
      <c r="A3" s="100" t="s">
        <v>25</v>
      </c>
      <c r="B3" s="101"/>
      <c r="C3" s="101"/>
      <c r="D3" s="101"/>
      <c r="E3" s="101"/>
      <c r="F3" s="101"/>
      <c r="G3" s="101"/>
      <c r="H3" s="101"/>
      <c r="I3" s="102"/>
    </row>
    <row r="4" spans="1:9" ht="15.75" x14ac:dyDescent="0.25">
      <c r="A4" s="103" t="s">
        <v>26</v>
      </c>
      <c r="B4" s="104"/>
      <c r="C4" s="104"/>
      <c r="D4" s="104"/>
      <c r="E4" s="104"/>
      <c r="F4" s="104"/>
      <c r="G4" s="104"/>
      <c r="H4" s="104"/>
      <c r="I4" s="105"/>
    </row>
    <row r="5" spans="1:9" x14ac:dyDescent="0.25">
      <c r="A5" s="106" t="s">
        <v>27</v>
      </c>
      <c r="B5" s="107"/>
      <c r="C5" s="107"/>
      <c r="D5" s="107"/>
      <c r="E5" s="107"/>
      <c r="F5" s="107"/>
      <c r="G5" s="107"/>
      <c r="H5" s="107"/>
      <c r="I5" s="108"/>
    </row>
    <row r="6" spans="1:9" ht="33" customHeight="1" thickBot="1" x14ac:dyDescent="0.3">
      <c r="A6" s="109" t="s">
        <v>84</v>
      </c>
      <c r="B6" s="110"/>
      <c r="C6" s="110"/>
      <c r="D6" s="110"/>
      <c r="E6" s="110"/>
      <c r="F6" s="110"/>
      <c r="G6" s="110"/>
      <c r="H6" s="110"/>
      <c r="I6" s="111"/>
    </row>
    <row r="7" spans="1:9" ht="15.75" hidden="1" thickBot="1" x14ac:dyDescent="0.3">
      <c r="A7" s="112" t="str">
        <f>CONCATENATE("Elaborado el ",MID(C1,1,2), " de ",IF(MID(C1,4,2)="01","Enero",IF(MID(C1,4,2)="02","Febrero",IF(MID(C1,4,2)="03","Marzo",IF(MID(C1,4,2)="04","Abril",IF(MID(C1,4,2)="05","Mayo",IF(MID(C1,4,2)="06","Junio",IF(MID(C1,4,2)="07","Julio",IF(MID(C1,4,2)="08","Agosto",IF(MID(C1,4,2)="09","Septiembre",IF(MID(C1,4,2)="10","Octubre",IF(MID(C1,4,2)="11","Noviembre","Diciembre")))))))))))," del ",MID(C1,7,4))</f>
        <v>Elaborado el 14 de Abril del 2016</v>
      </c>
      <c r="B7" s="113"/>
      <c r="C7" s="113"/>
      <c r="D7" s="113"/>
      <c r="E7" s="113"/>
      <c r="F7" s="113"/>
      <c r="G7" s="113"/>
      <c r="H7" s="113"/>
      <c r="I7" s="114"/>
    </row>
    <row r="8" spans="1:9" ht="15.75" thickBot="1" x14ac:dyDescent="0.3">
      <c r="A8" s="115" t="s">
        <v>28</v>
      </c>
      <c r="B8" s="116"/>
      <c r="C8" s="119" t="s">
        <v>85</v>
      </c>
      <c r="D8" s="122" t="s">
        <v>86</v>
      </c>
      <c r="E8" s="123"/>
      <c r="F8" s="123"/>
      <c r="G8" s="123"/>
      <c r="H8" s="124"/>
      <c r="I8" s="125" t="s">
        <v>87</v>
      </c>
    </row>
    <row r="9" spans="1:9" ht="30.75" thickBot="1" x14ac:dyDescent="0.3">
      <c r="A9" s="109"/>
      <c r="B9" s="110"/>
      <c r="C9" s="120"/>
      <c r="D9" s="19" t="s">
        <v>29</v>
      </c>
      <c r="E9" s="20" t="s">
        <v>88</v>
      </c>
      <c r="F9" s="19" t="s">
        <v>30</v>
      </c>
      <c r="G9" s="19" t="s">
        <v>31</v>
      </c>
      <c r="H9" s="19" t="s">
        <v>32</v>
      </c>
      <c r="I9" s="126"/>
    </row>
    <row r="10" spans="1:9" ht="15.75" thickBot="1" x14ac:dyDescent="0.3">
      <c r="A10" s="117"/>
      <c r="B10" s="118"/>
      <c r="C10" s="121"/>
      <c r="D10" s="21">
        <v>1</v>
      </c>
      <c r="E10" s="22">
        <v>2</v>
      </c>
      <c r="F10" s="21" t="s">
        <v>89</v>
      </c>
      <c r="G10" s="21">
        <v>4</v>
      </c>
      <c r="H10" s="21">
        <v>5</v>
      </c>
      <c r="I10" s="23" t="s">
        <v>90</v>
      </c>
    </row>
    <row r="11" spans="1:9" x14ac:dyDescent="0.25">
      <c r="A11" s="24" t="s">
        <v>91</v>
      </c>
      <c r="B11" s="25"/>
      <c r="C11" s="26">
        <v>1000</v>
      </c>
      <c r="D11" s="27">
        <f>SUM(D12:D18)</f>
        <v>6973045610.5199995</v>
      </c>
      <c r="E11" s="27">
        <f>SUM(E12:E18)</f>
        <v>590779855.47999978</v>
      </c>
      <c r="F11" s="27">
        <f>+D11+E11</f>
        <v>7563825465.999999</v>
      </c>
      <c r="G11" s="27">
        <f>SUM(G12:G18)</f>
        <v>7563786966</v>
      </c>
      <c r="H11" s="27">
        <f>SUM(H12:H18)</f>
        <v>7435308582.4399996</v>
      </c>
      <c r="I11" s="28">
        <f t="shared" ref="I11:I74" si="0">F11-G11</f>
        <v>38499.999999046326</v>
      </c>
    </row>
    <row r="12" spans="1:9" x14ac:dyDescent="0.25">
      <c r="A12" s="29"/>
      <c r="B12" s="30" t="s">
        <v>92</v>
      </c>
      <c r="C12" s="31">
        <v>1100</v>
      </c>
      <c r="D12" s="32">
        <v>5388320770.0500002</v>
      </c>
      <c r="E12" s="32">
        <f>-1129850651.59-21606401.43</f>
        <v>-1151457053.02</v>
      </c>
      <c r="F12" s="32">
        <f t="shared" ref="F12:F75" si="1">+D12+E12</f>
        <v>4236863717.0300002</v>
      </c>
      <c r="G12" s="32">
        <v>4236863717.0300002</v>
      </c>
      <c r="H12" s="32">
        <v>4236863717.0300002</v>
      </c>
      <c r="I12" s="33">
        <f t="shared" si="0"/>
        <v>0</v>
      </c>
    </row>
    <row r="13" spans="1:9" x14ac:dyDescent="0.25">
      <c r="A13" s="29"/>
      <c r="B13" s="30" t="s">
        <v>93</v>
      </c>
      <c r="C13" s="31">
        <v>1200</v>
      </c>
      <c r="D13" s="34">
        <v>275100773.16000003</v>
      </c>
      <c r="E13" s="34">
        <f>-42598426.85-442200.8</f>
        <v>-43040627.649999999</v>
      </c>
      <c r="F13" s="32">
        <f t="shared" si="1"/>
        <v>232060145.51000002</v>
      </c>
      <c r="G13" s="34">
        <v>232021645.50999999</v>
      </c>
      <c r="H13" s="34">
        <v>232021645.50999999</v>
      </c>
      <c r="I13" s="33">
        <f t="shared" si="0"/>
        <v>38500.000000029802</v>
      </c>
    </row>
    <row r="14" spans="1:9" x14ac:dyDescent="0.25">
      <c r="A14" s="29"/>
      <c r="B14" s="30" t="s">
        <v>94</v>
      </c>
      <c r="C14" s="31">
        <v>1300</v>
      </c>
      <c r="D14" s="34">
        <v>443125416.07999998</v>
      </c>
      <c r="E14" s="34">
        <f>195780949.61-2616942</f>
        <v>193164007.61000001</v>
      </c>
      <c r="F14" s="32">
        <f t="shared" si="1"/>
        <v>636289423.69000006</v>
      </c>
      <c r="G14" s="34">
        <v>636289423.69000006</v>
      </c>
      <c r="H14" s="34">
        <v>636289423.69000006</v>
      </c>
      <c r="I14" s="33">
        <f t="shared" si="0"/>
        <v>0</v>
      </c>
    </row>
    <row r="15" spans="1:9" x14ac:dyDescent="0.25">
      <c r="A15" s="29"/>
      <c r="B15" s="35" t="s">
        <v>95</v>
      </c>
      <c r="C15" s="36">
        <v>1400</v>
      </c>
      <c r="D15" s="37">
        <v>580384723.21000004</v>
      </c>
      <c r="E15" s="37">
        <f>686635478.83+52023355.18</f>
        <v>738658834.00999999</v>
      </c>
      <c r="F15" s="38">
        <f t="shared" si="1"/>
        <v>1319043557.22</v>
      </c>
      <c r="G15" s="37">
        <v>1319043557.22</v>
      </c>
      <c r="H15" s="37">
        <v>1191071863.8800001</v>
      </c>
      <c r="I15" s="39">
        <f t="shared" si="0"/>
        <v>0</v>
      </c>
    </row>
    <row r="16" spans="1:9" x14ac:dyDescent="0.25">
      <c r="A16" s="29"/>
      <c r="B16" s="30" t="s">
        <v>96</v>
      </c>
      <c r="C16" s="31">
        <v>1500</v>
      </c>
      <c r="D16" s="34">
        <v>259441565.06999999</v>
      </c>
      <c r="E16" s="34">
        <f>873261970.31-27357810.95</f>
        <v>845904159.3599999</v>
      </c>
      <c r="F16" s="32">
        <f t="shared" si="1"/>
        <v>1105345724.4299998</v>
      </c>
      <c r="G16" s="34">
        <v>1105345724.4300001</v>
      </c>
      <c r="H16" s="34">
        <v>1104839034.21</v>
      </c>
      <c r="I16" s="33">
        <f t="shared" si="0"/>
        <v>0</v>
      </c>
    </row>
    <row r="17" spans="1:9" x14ac:dyDescent="0.25">
      <c r="A17" s="29"/>
      <c r="B17" s="30" t="s">
        <v>97</v>
      </c>
      <c r="C17" s="31">
        <v>1600</v>
      </c>
      <c r="D17" s="34">
        <v>0</v>
      </c>
      <c r="E17" s="34">
        <v>0</v>
      </c>
      <c r="F17" s="32">
        <f t="shared" si="1"/>
        <v>0</v>
      </c>
      <c r="G17" s="34">
        <v>0</v>
      </c>
      <c r="H17" s="34">
        <v>0</v>
      </c>
      <c r="I17" s="33">
        <f t="shared" si="0"/>
        <v>0</v>
      </c>
    </row>
    <row r="18" spans="1:9" x14ac:dyDescent="0.25">
      <c r="A18" s="29"/>
      <c r="B18" s="30" t="s">
        <v>98</v>
      </c>
      <c r="C18" s="31">
        <v>1700</v>
      </c>
      <c r="D18" s="34">
        <v>26672362.949999999</v>
      </c>
      <c r="E18" s="34">
        <v>7550535.1699999999</v>
      </c>
      <c r="F18" s="32">
        <f t="shared" si="1"/>
        <v>34222898.119999997</v>
      </c>
      <c r="G18" s="34">
        <v>34222898.119999997</v>
      </c>
      <c r="H18" s="34">
        <v>34222898.119999997</v>
      </c>
      <c r="I18" s="33">
        <f t="shared" si="0"/>
        <v>0</v>
      </c>
    </row>
    <row r="19" spans="1:9" x14ac:dyDescent="0.25">
      <c r="A19" s="24" t="s">
        <v>99</v>
      </c>
      <c r="B19" s="25"/>
      <c r="C19" s="26">
        <v>2000</v>
      </c>
      <c r="D19" s="27">
        <f>SUM(D20:D28)</f>
        <v>800562586.46000004</v>
      </c>
      <c r="E19" s="27">
        <f>SUM(E20:E28)</f>
        <v>68662945.610000014</v>
      </c>
      <c r="F19" s="27">
        <f t="shared" si="1"/>
        <v>869225532.07000005</v>
      </c>
      <c r="G19" s="27">
        <f>SUM(G20:G28)</f>
        <v>807534855.04000008</v>
      </c>
      <c r="H19" s="27">
        <f>SUM(H20:H28)</f>
        <v>469843836.63999999</v>
      </c>
      <c r="I19" s="28">
        <f t="shared" si="0"/>
        <v>61690677.029999971</v>
      </c>
    </row>
    <row r="20" spans="1:9" x14ac:dyDescent="0.25">
      <c r="A20" s="29"/>
      <c r="B20" s="30" t="s">
        <v>100</v>
      </c>
      <c r="C20" s="31">
        <v>2100</v>
      </c>
      <c r="D20" s="34">
        <v>197714989.69999999</v>
      </c>
      <c r="E20" s="34">
        <v>33133149.809999999</v>
      </c>
      <c r="F20" s="32">
        <f t="shared" si="1"/>
        <v>230848139.50999999</v>
      </c>
      <c r="G20" s="34">
        <v>217601396.19</v>
      </c>
      <c r="H20" s="34">
        <v>180009546.75</v>
      </c>
      <c r="I20" s="33">
        <f t="shared" si="0"/>
        <v>13246743.319999993</v>
      </c>
    </row>
    <row r="21" spans="1:9" x14ac:dyDescent="0.25">
      <c r="A21" s="29"/>
      <c r="B21" s="30" t="s">
        <v>101</v>
      </c>
      <c r="C21" s="31">
        <v>2200</v>
      </c>
      <c r="D21" s="34">
        <v>207174852.41</v>
      </c>
      <c r="E21" s="34">
        <v>75487944.400000006</v>
      </c>
      <c r="F21" s="32">
        <f t="shared" si="1"/>
        <v>282662796.81</v>
      </c>
      <c r="G21" s="34">
        <v>279587786.16000003</v>
      </c>
      <c r="H21" s="34">
        <v>163097021.77000001</v>
      </c>
      <c r="I21" s="33">
        <f t="shared" si="0"/>
        <v>3075010.6499999762</v>
      </c>
    </row>
    <row r="22" spans="1:9" x14ac:dyDescent="0.25">
      <c r="A22" s="29"/>
      <c r="B22" s="30" t="s">
        <v>102</v>
      </c>
      <c r="C22" s="31">
        <v>2300</v>
      </c>
      <c r="D22" s="34">
        <v>104800</v>
      </c>
      <c r="E22" s="34">
        <v>-90445.66</v>
      </c>
      <c r="F22" s="32">
        <f t="shared" si="1"/>
        <v>14354.339999999997</v>
      </c>
      <c r="G22" s="34">
        <v>0</v>
      </c>
      <c r="H22" s="34">
        <v>0</v>
      </c>
      <c r="I22" s="33">
        <f t="shared" si="0"/>
        <v>14354.339999999997</v>
      </c>
    </row>
    <row r="23" spans="1:9" x14ac:dyDescent="0.25">
      <c r="A23" s="29"/>
      <c r="B23" s="30" t="s">
        <v>103</v>
      </c>
      <c r="C23" s="31">
        <v>2400</v>
      </c>
      <c r="D23" s="34">
        <v>5094024.79</v>
      </c>
      <c r="E23" s="34">
        <v>1481446.17</v>
      </c>
      <c r="F23" s="32">
        <f t="shared" si="1"/>
        <v>6575470.96</v>
      </c>
      <c r="G23" s="34">
        <v>4887112.88</v>
      </c>
      <c r="H23" s="34">
        <v>3554030.29</v>
      </c>
      <c r="I23" s="33">
        <f t="shared" si="0"/>
        <v>1688358.08</v>
      </c>
    </row>
    <row r="24" spans="1:9" x14ac:dyDescent="0.25">
      <c r="A24" s="29"/>
      <c r="B24" s="30" t="s">
        <v>104</v>
      </c>
      <c r="C24" s="31">
        <v>2500</v>
      </c>
      <c r="D24" s="34">
        <v>7919040.9199999999</v>
      </c>
      <c r="E24" s="34">
        <v>-2789200.09</v>
      </c>
      <c r="F24" s="32">
        <f t="shared" si="1"/>
        <v>5129840.83</v>
      </c>
      <c r="G24" s="34">
        <v>4539410.42</v>
      </c>
      <c r="H24" s="34">
        <v>1427054.9</v>
      </c>
      <c r="I24" s="33">
        <f t="shared" si="0"/>
        <v>590430.41000000015</v>
      </c>
    </row>
    <row r="25" spans="1:9" x14ac:dyDescent="0.25">
      <c r="A25" s="29"/>
      <c r="B25" s="30" t="s">
        <v>105</v>
      </c>
      <c r="C25" s="31">
        <v>2600</v>
      </c>
      <c r="D25" s="34">
        <v>104846734.34999999</v>
      </c>
      <c r="E25" s="34">
        <v>-12859711.109999999</v>
      </c>
      <c r="F25" s="32">
        <f t="shared" si="1"/>
        <v>91987023.239999995</v>
      </c>
      <c r="G25" s="34">
        <v>87506719.519999996</v>
      </c>
      <c r="H25" s="34">
        <v>83244467.939999998</v>
      </c>
      <c r="I25" s="33">
        <f t="shared" si="0"/>
        <v>4480303.7199999988</v>
      </c>
    </row>
    <row r="26" spans="1:9" x14ac:dyDescent="0.25">
      <c r="A26" s="29"/>
      <c r="B26" s="30" t="s">
        <v>106</v>
      </c>
      <c r="C26" s="31">
        <v>2700</v>
      </c>
      <c r="D26" s="34">
        <v>269695142.5</v>
      </c>
      <c r="E26" s="34">
        <v>-45123022.409999996</v>
      </c>
      <c r="F26" s="32">
        <f t="shared" si="1"/>
        <v>224572120.09</v>
      </c>
      <c r="G26" s="34">
        <v>188040253.22999999</v>
      </c>
      <c r="H26" s="34">
        <v>14691703.27</v>
      </c>
      <c r="I26" s="33">
        <f t="shared" si="0"/>
        <v>36531866.860000014</v>
      </c>
    </row>
    <row r="27" spans="1:9" x14ac:dyDescent="0.25">
      <c r="A27" s="29"/>
      <c r="B27" s="30" t="s">
        <v>107</v>
      </c>
      <c r="C27" s="31">
        <v>2800</v>
      </c>
      <c r="D27" s="34">
        <v>15200</v>
      </c>
      <c r="E27" s="34">
        <v>20248494.77</v>
      </c>
      <c r="F27" s="32">
        <f t="shared" si="1"/>
        <v>20263694.77</v>
      </c>
      <c r="G27" s="34">
        <v>20119537.16</v>
      </c>
      <c r="H27" s="34">
        <v>20119537.16</v>
      </c>
      <c r="I27" s="33">
        <f t="shared" si="0"/>
        <v>144157.6099999994</v>
      </c>
    </row>
    <row r="28" spans="1:9" x14ac:dyDescent="0.25">
      <c r="A28" s="29"/>
      <c r="B28" s="30" t="s">
        <v>108</v>
      </c>
      <c r="C28" s="31">
        <v>2900</v>
      </c>
      <c r="D28" s="34">
        <v>7997801.79</v>
      </c>
      <c r="E28" s="34">
        <v>-825710.27</v>
      </c>
      <c r="F28" s="32">
        <f t="shared" si="1"/>
        <v>7172091.5199999996</v>
      </c>
      <c r="G28" s="34">
        <v>5252639.4800000004</v>
      </c>
      <c r="H28" s="34">
        <v>3700474.56</v>
      </c>
      <c r="I28" s="33">
        <f t="shared" si="0"/>
        <v>1919452.0399999991</v>
      </c>
    </row>
    <row r="29" spans="1:9" x14ac:dyDescent="0.25">
      <c r="A29" s="24" t="s">
        <v>109</v>
      </c>
      <c r="B29" s="25"/>
      <c r="C29" s="26">
        <v>3000</v>
      </c>
      <c r="D29" s="27">
        <f>SUM(D30:D38)</f>
        <v>958497852.92000008</v>
      </c>
      <c r="E29" s="27">
        <f>SUM(E30:E38)</f>
        <v>596547272.67000008</v>
      </c>
      <c r="F29" s="27">
        <f t="shared" si="1"/>
        <v>1555045125.5900002</v>
      </c>
      <c r="G29" s="27">
        <f>SUM(G30:G38)</f>
        <v>1474238916.8299999</v>
      </c>
      <c r="H29" s="27">
        <f>SUM(H30:H38)</f>
        <v>992376358.53999984</v>
      </c>
      <c r="I29" s="28">
        <f t="shared" si="0"/>
        <v>80806208.760000229</v>
      </c>
    </row>
    <row r="30" spans="1:9" x14ac:dyDescent="0.25">
      <c r="A30" s="29"/>
      <c r="B30" s="30" t="s">
        <v>110</v>
      </c>
      <c r="C30" s="31">
        <v>3100</v>
      </c>
      <c r="D30" s="34">
        <v>181163043.49000001</v>
      </c>
      <c r="E30" s="34">
        <v>113745709.54000001</v>
      </c>
      <c r="F30" s="32">
        <f t="shared" si="1"/>
        <v>294908753.03000003</v>
      </c>
      <c r="G30" s="34">
        <v>280409005.81</v>
      </c>
      <c r="H30" s="34">
        <v>196219399.59999999</v>
      </c>
      <c r="I30" s="33">
        <f t="shared" si="0"/>
        <v>14499747.220000029</v>
      </c>
    </row>
    <row r="31" spans="1:9" x14ac:dyDescent="0.25">
      <c r="A31" s="29"/>
      <c r="B31" s="30" t="s">
        <v>111</v>
      </c>
      <c r="C31" s="31">
        <v>3200</v>
      </c>
      <c r="D31" s="34">
        <v>112711323.67</v>
      </c>
      <c r="E31" s="34">
        <v>16391829.77</v>
      </c>
      <c r="F31" s="32">
        <f t="shared" si="1"/>
        <v>129103153.44</v>
      </c>
      <c r="G31" s="34">
        <v>121122500.51000001</v>
      </c>
      <c r="H31" s="34">
        <v>59897549.149999999</v>
      </c>
      <c r="I31" s="33">
        <f t="shared" si="0"/>
        <v>7980652.9299999923</v>
      </c>
    </row>
    <row r="32" spans="1:9" x14ac:dyDescent="0.25">
      <c r="A32" s="29"/>
      <c r="B32" s="30" t="s">
        <v>112</v>
      </c>
      <c r="C32" s="31">
        <v>3300</v>
      </c>
      <c r="D32" s="34">
        <v>260448198.65000001</v>
      </c>
      <c r="E32" s="34">
        <v>313781859.38</v>
      </c>
      <c r="F32" s="32">
        <f t="shared" si="1"/>
        <v>574230058.02999997</v>
      </c>
      <c r="G32" s="34">
        <v>559174643.17999995</v>
      </c>
      <c r="H32" s="34">
        <v>325869688.08999997</v>
      </c>
      <c r="I32" s="33">
        <f t="shared" si="0"/>
        <v>15055414.850000024</v>
      </c>
    </row>
    <row r="33" spans="1:9" x14ac:dyDescent="0.25">
      <c r="A33" s="29"/>
      <c r="B33" s="30" t="s">
        <v>113</v>
      </c>
      <c r="C33" s="31">
        <v>3400</v>
      </c>
      <c r="D33" s="34">
        <v>60680652.490000002</v>
      </c>
      <c r="E33" s="34">
        <v>-4210488.5199999996</v>
      </c>
      <c r="F33" s="32">
        <f t="shared" si="1"/>
        <v>56470163.969999999</v>
      </c>
      <c r="G33" s="34">
        <v>43803315.890000001</v>
      </c>
      <c r="H33" s="34">
        <v>31542577.300000001</v>
      </c>
      <c r="I33" s="33">
        <f t="shared" si="0"/>
        <v>12666848.079999998</v>
      </c>
    </row>
    <row r="34" spans="1:9" x14ac:dyDescent="0.25">
      <c r="A34" s="29"/>
      <c r="B34" s="30" t="s">
        <v>114</v>
      </c>
      <c r="C34" s="31">
        <v>3500</v>
      </c>
      <c r="D34" s="34">
        <v>146397705.50999999</v>
      </c>
      <c r="E34" s="34">
        <v>13121899.59</v>
      </c>
      <c r="F34" s="32">
        <f t="shared" si="1"/>
        <v>159519605.09999999</v>
      </c>
      <c r="G34" s="34">
        <v>144311778.5</v>
      </c>
      <c r="H34" s="34">
        <v>105143063.64</v>
      </c>
      <c r="I34" s="33">
        <f t="shared" si="0"/>
        <v>15207826.599999994</v>
      </c>
    </row>
    <row r="35" spans="1:9" x14ac:dyDescent="0.25">
      <c r="A35" s="29"/>
      <c r="B35" s="30" t="s">
        <v>115</v>
      </c>
      <c r="C35" s="31">
        <v>3600</v>
      </c>
      <c r="D35" s="34">
        <v>50298709.799999997</v>
      </c>
      <c r="E35" s="34">
        <v>122030313.40000001</v>
      </c>
      <c r="F35" s="32">
        <f t="shared" si="1"/>
        <v>172329023.19999999</v>
      </c>
      <c r="G35" s="34">
        <v>169441629.44999999</v>
      </c>
      <c r="H35" s="34">
        <v>146385452.62</v>
      </c>
      <c r="I35" s="33">
        <f t="shared" si="0"/>
        <v>2887393.75</v>
      </c>
    </row>
    <row r="36" spans="1:9" x14ac:dyDescent="0.25">
      <c r="A36" s="29"/>
      <c r="B36" s="30" t="s">
        <v>116</v>
      </c>
      <c r="C36" s="31">
        <v>3700</v>
      </c>
      <c r="D36" s="34">
        <v>75368964.980000004</v>
      </c>
      <c r="E36" s="34">
        <v>-22544242.559999999</v>
      </c>
      <c r="F36" s="32">
        <f t="shared" si="1"/>
        <v>52824722.420000002</v>
      </c>
      <c r="G36" s="34">
        <v>44437270.460000001</v>
      </c>
      <c r="H36" s="34">
        <v>35509471.289999999</v>
      </c>
      <c r="I36" s="33">
        <f t="shared" si="0"/>
        <v>8387451.9600000009</v>
      </c>
    </row>
    <row r="37" spans="1:9" x14ac:dyDescent="0.25">
      <c r="A37" s="29"/>
      <c r="B37" s="30" t="s">
        <v>117</v>
      </c>
      <c r="C37" s="31">
        <v>3800</v>
      </c>
      <c r="D37" s="34">
        <v>28407554.25</v>
      </c>
      <c r="E37" s="34">
        <v>48741989.880000003</v>
      </c>
      <c r="F37" s="32">
        <f t="shared" si="1"/>
        <v>77149544.129999995</v>
      </c>
      <c r="G37" s="34">
        <v>73901341.079999998</v>
      </c>
      <c r="H37" s="34">
        <v>60027487.020000003</v>
      </c>
      <c r="I37" s="33">
        <f t="shared" si="0"/>
        <v>3248203.049999997</v>
      </c>
    </row>
    <row r="38" spans="1:9" x14ac:dyDescent="0.25">
      <c r="A38" s="29"/>
      <c r="B38" s="30" t="s">
        <v>118</v>
      </c>
      <c r="C38" s="31">
        <v>3900</v>
      </c>
      <c r="D38" s="34">
        <v>43021700.079999998</v>
      </c>
      <c r="E38" s="34">
        <v>-4511597.8099999996</v>
      </c>
      <c r="F38" s="32">
        <f t="shared" si="1"/>
        <v>38510102.269999996</v>
      </c>
      <c r="G38" s="34">
        <v>37637431.950000003</v>
      </c>
      <c r="H38" s="34">
        <v>31781669.829999998</v>
      </c>
      <c r="I38" s="33">
        <f t="shared" si="0"/>
        <v>872670.31999999285</v>
      </c>
    </row>
    <row r="39" spans="1:9" x14ac:dyDescent="0.25">
      <c r="A39" s="24" t="s">
        <v>119</v>
      </c>
      <c r="B39" s="25"/>
      <c r="C39" s="26">
        <v>4000</v>
      </c>
      <c r="D39" s="27">
        <f>SUM(D40:D48)</f>
        <v>25981240462.850002</v>
      </c>
      <c r="E39" s="27">
        <f>SUM(E40:E48)</f>
        <v>5284465711.21</v>
      </c>
      <c r="F39" s="27">
        <f t="shared" si="1"/>
        <v>31265706174.060001</v>
      </c>
      <c r="G39" s="27">
        <f>SUM(G40:G48)</f>
        <v>31053199186.259998</v>
      </c>
      <c r="H39" s="27">
        <f>SUM(H40:H48)</f>
        <v>29035895126.040001</v>
      </c>
      <c r="I39" s="28">
        <f t="shared" si="0"/>
        <v>212506987.80000305</v>
      </c>
    </row>
    <row r="40" spans="1:9" x14ac:dyDescent="0.25">
      <c r="A40" s="29"/>
      <c r="B40" s="30" t="s">
        <v>120</v>
      </c>
      <c r="C40" s="31">
        <v>4100</v>
      </c>
      <c r="D40" s="34">
        <v>22489401944.720001</v>
      </c>
      <c r="E40" s="34">
        <f>7653821454.86-7818562.83-27213719.94</f>
        <v>7618789172.0900002</v>
      </c>
      <c r="F40" s="32">
        <f t="shared" si="1"/>
        <v>30108191116.810001</v>
      </c>
      <c r="G40" s="34">
        <v>29895684129.009998</v>
      </c>
      <c r="H40" s="34">
        <v>27999337911.029999</v>
      </c>
      <c r="I40" s="33">
        <f t="shared" si="0"/>
        <v>212506987.80000305</v>
      </c>
    </row>
    <row r="41" spans="1:9" x14ac:dyDescent="0.25">
      <c r="A41" s="29"/>
      <c r="B41" s="40" t="s">
        <v>121</v>
      </c>
      <c r="C41" s="41">
        <v>4200</v>
      </c>
      <c r="D41" s="34">
        <v>418578689</v>
      </c>
      <c r="E41" s="34">
        <f>-208882323.07-5969963.12</f>
        <v>-214852286.19</v>
      </c>
      <c r="F41" s="32">
        <f t="shared" si="1"/>
        <v>203726402.81</v>
      </c>
      <c r="G41" s="34">
        <v>203726402.81</v>
      </c>
      <c r="H41" s="34">
        <v>201214708.81</v>
      </c>
      <c r="I41" s="33">
        <f t="shared" si="0"/>
        <v>0</v>
      </c>
    </row>
    <row r="42" spans="1:9" x14ac:dyDescent="0.25">
      <c r="A42" s="29"/>
      <c r="B42" s="40" t="s">
        <v>122</v>
      </c>
      <c r="C42" s="41">
        <v>4300</v>
      </c>
      <c r="D42" s="34">
        <v>180929666</v>
      </c>
      <c r="E42" s="34">
        <v>-41606592.520000003</v>
      </c>
      <c r="F42" s="32">
        <f t="shared" si="1"/>
        <v>139323073.47999999</v>
      </c>
      <c r="G42" s="34">
        <v>139323073.47999999</v>
      </c>
      <c r="H42" s="34">
        <v>106323804.09999999</v>
      </c>
      <c r="I42" s="33">
        <f t="shared" si="0"/>
        <v>0</v>
      </c>
    </row>
    <row r="43" spans="1:9" x14ac:dyDescent="0.25">
      <c r="A43" s="29"/>
      <c r="B43" s="35" t="s">
        <v>123</v>
      </c>
      <c r="C43" s="36">
        <v>4400</v>
      </c>
      <c r="D43" s="37">
        <v>985140585.84000003</v>
      </c>
      <c r="E43" s="37">
        <f>-382185150.44+13788525.95</f>
        <v>-368396624.49000001</v>
      </c>
      <c r="F43" s="38">
        <f t="shared" si="1"/>
        <v>616743961.35000002</v>
      </c>
      <c r="G43" s="37">
        <v>616743961.35000002</v>
      </c>
      <c r="H43" s="37">
        <v>531297082.49000001</v>
      </c>
      <c r="I43" s="39">
        <f t="shared" si="0"/>
        <v>0</v>
      </c>
    </row>
    <row r="44" spans="1:9" x14ac:dyDescent="0.25">
      <c r="A44" s="29"/>
      <c r="B44" s="30" t="s">
        <v>33</v>
      </c>
      <c r="C44" s="31">
        <v>4500</v>
      </c>
      <c r="D44" s="34">
        <v>1907189577.29</v>
      </c>
      <c r="E44" s="34">
        <v>-1734884118.0799999</v>
      </c>
      <c r="F44" s="32">
        <f t="shared" si="1"/>
        <v>172305459.21000004</v>
      </c>
      <c r="G44" s="34">
        <v>172305459.21000001</v>
      </c>
      <c r="H44" s="34">
        <v>172305459.21000001</v>
      </c>
      <c r="I44" s="33">
        <f t="shared" si="0"/>
        <v>0</v>
      </c>
    </row>
    <row r="45" spans="1:9" x14ac:dyDescent="0.25">
      <c r="A45" s="29"/>
      <c r="B45" s="30" t="s">
        <v>124</v>
      </c>
      <c r="C45" s="31">
        <v>4600</v>
      </c>
      <c r="D45" s="34">
        <v>0</v>
      </c>
      <c r="E45" s="34">
        <v>25416160.399999999</v>
      </c>
      <c r="F45" s="32">
        <f t="shared" si="1"/>
        <v>25416160.399999999</v>
      </c>
      <c r="G45" s="34">
        <v>25416160.399999999</v>
      </c>
      <c r="H45" s="34">
        <v>25416160.399999999</v>
      </c>
      <c r="I45" s="33">
        <f t="shared" si="0"/>
        <v>0</v>
      </c>
    </row>
    <row r="46" spans="1:9" x14ac:dyDescent="0.25">
      <c r="A46" s="29"/>
      <c r="B46" s="30" t="s">
        <v>125</v>
      </c>
      <c r="C46" s="31">
        <v>4700</v>
      </c>
      <c r="D46" s="34">
        <v>0</v>
      </c>
      <c r="E46" s="34">
        <v>0</v>
      </c>
      <c r="F46" s="32">
        <f t="shared" si="1"/>
        <v>0</v>
      </c>
      <c r="G46" s="34">
        <v>0</v>
      </c>
      <c r="H46" s="34">
        <v>0</v>
      </c>
      <c r="I46" s="33">
        <f t="shared" si="0"/>
        <v>0</v>
      </c>
    </row>
    <row r="47" spans="1:9" x14ac:dyDescent="0.25">
      <c r="A47" s="29"/>
      <c r="B47" s="30" t="s">
        <v>126</v>
      </c>
      <c r="C47" s="31">
        <v>4800</v>
      </c>
      <c r="D47" s="34">
        <v>0</v>
      </c>
      <c r="E47" s="34">
        <v>0</v>
      </c>
      <c r="F47" s="32">
        <f t="shared" si="1"/>
        <v>0</v>
      </c>
      <c r="G47" s="34">
        <v>0</v>
      </c>
      <c r="H47" s="34">
        <v>0</v>
      </c>
      <c r="I47" s="33">
        <f t="shared" si="0"/>
        <v>0</v>
      </c>
    </row>
    <row r="48" spans="1:9" x14ac:dyDescent="0.25">
      <c r="A48" s="29"/>
      <c r="B48" s="30" t="s">
        <v>127</v>
      </c>
      <c r="C48" s="31">
        <v>4900</v>
      </c>
      <c r="D48" s="34">
        <v>0</v>
      </c>
      <c r="E48" s="34">
        <v>0</v>
      </c>
      <c r="F48" s="32">
        <f t="shared" si="1"/>
        <v>0</v>
      </c>
      <c r="G48" s="34">
        <v>0</v>
      </c>
      <c r="H48" s="34">
        <v>0</v>
      </c>
      <c r="I48" s="33">
        <f t="shared" si="0"/>
        <v>0</v>
      </c>
    </row>
    <row r="49" spans="1:9" x14ac:dyDescent="0.25">
      <c r="A49" s="24" t="s">
        <v>128</v>
      </c>
      <c r="B49" s="25"/>
      <c r="C49" s="26">
        <v>5000</v>
      </c>
      <c r="D49" s="27">
        <f>SUM(D50:D58)</f>
        <v>42449968.010000005</v>
      </c>
      <c r="E49" s="27">
        <f>SUM(E50:E58)</f>
        <v>147116309.38999999</v>
      </c>
      <c r="F49" s="27">
        <f t="shared" si="1"/>
        <v>189566277.39999998</v>
      </c>
      <c r="G49" s="27">
        <f>SUM(G50:G58)</f>
        <v>186914874.71000001</v>
      </c>
      <c r="H49" s="27">
        <f>SUM(H50:H58)</f>
        <v>178003676.34000003</v>
      </c>
      <c r="I49" s="28">
        <f t="shared" si="0"/>
        <v>2651402.6899999678</v>
      </c>
    </row>
    <row r="50" spans="1:9" x14ac:dyDescent="0.25">
      <c r="A50" s="29"/>
      <c r="B50" s="30" t="s">
        <v>129</v>
      </c>
      <c r="C50" s="31">
        <v>5100</v>
      </c>
      <c r="D50" s="34">
        <v>27229408.010000002</v>
      </c>
      <c r="E50" s="34">
        <v>55779959</v>
      </c>
      <c r="F50" s="32">
        <f t="shared" si="1"/>
        <v>83009367.010000005</v>
      </c>
      <c r="G50" s="34">
        <v>81658720.349999994</v>
      </c>
      <c r="H50" s="34">
        <v>79522952.359999999</v>
      </c>
      <c r="I50" s="33">
        <f t="shared" si="0"/>
        <v>1350646.6600000113</v>
      </c>
    </row>
    <row r="51" spans="1:9" x14ac:dyDescent="0.25">
      <c r="A51" s="29"/>
      <c r="B51" s="30" t="s">
        <v>130</v>
      </c>
      <c r="C51" s="31">
        <v>5200</v>
      </c>
      <c r="D51" s="34">
        <v>77387</v>
      </c>
      <c r="E51" s="34">
        <v>1085979.54</v>
      </c>
      <c r="F51" s="32">
        <f t="shared" si="1"/>
        <v>1163366.54</v>
      </c>
      <c r="G51" s="34">
        <v>773959.82</v>
      </c>
      <c r="H51" s="34">
        <v>773959.82</v>
      </c>
      <c r="I51" s="33">
        <f t="shared" si="0"/>
        <v>389406.72000000009</v>
      </c>
    </row>
    <row r="52" spans="1:9" x14ac:dyDescent="0.25">
      <c r="A52" s="29"/>
      <c r="B52" s="30" t="s">
        <v>131</v>
      </c>
      <c r="C52" s="31">
        <v>5300</v>
      </c>
      <c r="D52" s="34">
        <v>0</v>
      </c>
      <c r="E52" s="34">
        <v>9944925.9600000009</v>
      </c>
      <c r="F52" s="32">
        <f t="shared" si="1"/>
        <v>9944925.9600000009</v>
      </c>
      <c r="G52" s="34">
        <v>9913808.9199999999</v>
      </c>
      <c r="H52" s="34">
        <v>9913808.9199999999</v>
      </c>
      <c r="I52" s="33">
        <f t="shared" si="0"/>
        <v>31117.040000000969</v>
      </c>
    </row>
    <row r="53" spans="1:9" x14ac:dyDescent="0.25">
      <c r="A53" s="29"/>
      <c r="B53" s="30" t="s">
        <v>132</v>
      </c>
      <c r="C53" s="31">
        <v>5400</v>
      </c>
      <c r="D53" s="34">
        <v>304721</v>
      </c>
      <c r="E53" s="34">
        <v>77353168.799999997</v>
      </c>
      <c r="F53" s="32">
        <f t="shared" si="1"/>
        <v>77657889.799999997</v>
      </c>
      <c r="G53" s="34">
        <v>77591338.370000005</v>
      </c>
      <c r="H53" s="34">
        <v>77241361.370000005</v>
      </c>
      <c r="I53" s="33">
        <f t="shared" si="0"/>
        <v>66551.429999992251</v>
      </c>
    </row>
    <row r="54" spans="1:9" x14ac:dyDescent="0.25">
      <c r="A54" s="29"/>
      <c r="B54" s="30" t="s">
        <v>133</v>
      </c>
      <c r="C54" s="31">
        <v>5500</v>
      </c>
      <c r="D54" s="34">
        <v>0</v>
      </c>
      <c r="E54" s="34">
        <v>260602.23</v>
      </c>
      <c r="F54" s="32">
        <f t="shared" si="1"/>
        <v>260602.23</v>
      </c>
      <c r="G54" s="34">
        <v>256278.8</v>
      </c>
      <c r="H54" s="34">
        <v>256278.8</v>
      </c>
      <c r="I54" s="33">
        <f t="shared" si="0"/>
        <v>4323.4300000000221</v>
      </c>
    </row>
    <row r="55" spans="1:9" x14ac:dyDescent="0.25">
      <c r="A55" s="29"/>
      <c r="B55" s="30" t="s">
        <v>134</v>
      </c>
      <c r="C55" s="31">
        <v>5600</v>
      </c>
      <c r="D55" s="34">
        <v>6359160</v>
      </c>
      <c r="E55" s="34">
        <v>1075550.73</v>
      </c>
      <c r="F55" s="32">
        <f t="shared" si="1"/>
        <v>7434710.7300000004</v>
      </c>
      <c r="G55" s="34">
        <v>7057155.6200000001</v>
      </c>
      <c r="H55" s="34">
        <v>6054140.0199999996</v>
      </c>
      <c r="I55" s="33">
        <f t="shared" si="0"/>
        <v>377555.11000000034</v>
      </c>
    </row>
    <row r="56" spans="1:9" x14ac:dyDescent="0.25">
      <c r="A56" s="29"/>
      <c r="B56" s="30" t="s">
        <v>135</v>
      </c>
      <c r="C56" s="31">
        <v>5700</v>
      </c>
      <c r="D56" s="34">
        <v>0</v>
      </c>
      <c r="E56" s="34">
        <v>0</v>
      </c>
      <c r="F56" s="32">
        <f t="shared" si="1"/>
        <v>0</v>
      </c>
      <c r="G56" s="34">
        <v>0</v>
      </c>
      <c r="H56" s="34">
        <v>0</v>
      </c>
      <c r="I56" s="33">
        <f t="shared" si="0"/>
        <v>0</v>
      </c>
    </row>
    <row r="57" spans="1:9" x14ac:dyDescent="0.25">
      <c r="A57" s="29"/>
      <c r="B57" s="30" t="s">
        <v>136</v>
      </c>
      <c r="C57" s="31">
        <v>5800</v>
      </c>
      <c r="D57" s="34">
        <v>0</v>
      </c>
      <c r="E57" s="34">
        <v>5620000</v>
      </c>
      <c r="F57" s="32">
        <f t="shared" si="1"/>
        <v>5620000</v>
      </c>
      <c r="G57" s="34">
        <v>5620000</v>
      </c>
      <c r="H57" s="34">
        <v>1720000</v>
      </c>
      <c r="I57" s="33">
        <f t="shared" si="0"/>
        <v>0</v>
      </c>
    </row>
    <row r="58" spans="1:9" x14ac:dyDescent="0.25">
      <c r="A58" s="29"/>
      <c r="B58" s="30" t="s">
        <v>137</v>
      </c>
      <c r="C58" s="31">
        <v>5900</v>
      </c>
      <c r="D58" s="34">
        <v>8479292</v>
      </c>
      <c r="E58" s="34">
        <v>-4003876.87</v>
      </c>
      <c r="F58" s="32">
        <f t="shared" si="1"/>
        <v>4475415.13</v>
      </c>
      <c r="G58" s="34">
        <v>4043612.83</v>
      </c>
      <c r="H58" s="34">
        <v>2521175.0499999998</v>
      </c>
      <c r="I58" s="33">
        <f t="shared" si="0"/>
        <v>431802.29999999981</v>
      </c>
    </row>
    <row r="59" spans="1:9" x14ac:dyDescent="0.25">
      <c r="A59" s="24" t="s">
        <v>138</v>
      </c>
      <c r="B59" s="25"/>
      <c r="C59" s="26">
        <v>6000</v>
      </c>
      <c r="D59" s="27">
        <f>SUM(D60:D62)</f>
        <v>4631556178.75</v>
      </c>
      <c r="E59" s="27">
        <f>SUM(E60:E62)</f>
        <v>-3627038720.3500004</v>
      </c>
      <c r="F59" s="27">
        <f t="shared" si="1"/>
        <v>1004517458.3999996</v>
      </c>
      <c r="G59" s="27">
        <f>SUM(G60:G62)</f>
        <v>873100937.11000001</v>
      </c>
      <c r="H59" s="27">
        <f>SUM(H60:H62)</f>
        <v>838513182.79999995</v>
      </c>
      <c r="I59" s="28">
        <f t="shared" si="0"/>
        <v>131416521.2899996</v>
      </c>
    </row>
    <row r="60" spans="1:9" x14ac:dyDescent="0.25">
      <c r="A60" s="29"/>
      <c r="B60" s="30" t="s">
        <v>139</v>
      </c>
      <c r="C60" s="31">
        <v>6100</v>
      </c>
      <c r="D60" s="34">
        <v>1964434838.75</v>
      </c>
      <c r="E60" s="34">
        <v>-1197047640.3399999</v>
      </c>
      <c r="F60" s="32">
        <f t="shared" si="1"/>
        <v>767387198.41000009</v>
      </c>
      <c r="G60" s="34">
        <v>641624646.63999999</v>
      </c>
      <c r="H60" s="34">
        <v>618045212.73000002</v>
      </c>
      <c r="I60" s="33">
        <f t="shared" si="0"/>
        <v>125762551.7700001</v>
      </c>
    </row>
    <row r="61" spans="1:9" x14ac:dyDescent="0.25">
      <c r="A61" s="29"/>
      <c r="B61" s="30" t="s">
        <v>140</v>
      </c>
      <c r="C61" s="31">
        <v>6200</v>
      </c>
      <c r="D61" s="34">
        <v>2635121340</v>
      </c>
      <c r="E61" s="34">
        <v>-2397991080.0100002</v>
      </c>
      <c r="F61" s="32">
        <f t="shared" si="1"/>
        <v>237130259.98999977</v>
      </c>
      <c r="G61" s="34">
        <v>231476290.47</v>
      </c>
      <c r="H61" s="34">
        <v>220467970.06999999</v>
      </c>
      <c r="I61" s="33">
        <f t="shared" si="0"/>
        <v>5653969.5199997723</v>
      </c>
    </row>
    <row r="62" spans="1:9" x14ac:dyDescent="0.25">
      <c r="A62" s="29"/>
      <c r="B62" s="30" t="s">
        <v>141</v>
      </c>
      <c r="C62" s="31">
        <v>6300</v>
      </c>
      <c r="D62" s="34">
        <v>32000000</v>
      </c>
      <c r="E62" s="34">
        <v>-32000000</v>
      </c>
      <c r="F62" s="32">
        <f t="shared" si="1"/>
        <v>0</v>
      </c>
      <c r="G62" s="34">
        <v>0</v>
      </c>
      <c r="H62" s="34">
        <v>0</v>
      </c>
      <c r="I62" s="33">
        <f t="shared" si="0"/>
        <v>0</v>
      </c>
    </row>
    <row r="63" spans="1:9" x14ac:dyDescent="0.25">
      <c r="A63" s="24" t="s">
        <v>142</v>
      </c>
      <c r="B63" s="25"/>
      <c r="C63" s="26">
        <v>7000</v>
      </c>
      <c r="D63" s="27">
        <f>SUM(D64:D70)</f>
        <v>420132093.14999998</v>
      </c>
      <c r="E63" s="27">
        <f>SUM(E64:E70)</f>
        <v>-420132093.14999998</v>
      </c>
      <c r="F63" s="27">
        <f t="shared" si="1"/>
        <v>0</v>
      </c>
      <c r="G63" s="27">
        <v>0</v>
      </c>
      <c r="H63" s="27">
        <v>0</v>
      </c>
      <c r="I63" s="28">
        <f t="shared" si="0"/>
        <v>0</v>
      </c>
    </row>
    <row r="64" spans="1:9" x14ac:dyDescent="0.25">
      <c r="A64" s="29"/>
      <c r="B64" s="30" t="s">
        <v>143</v>
      </c>
      <c r="C64" s="31">
        <v>7100</v>
      </c>
      <c r="D64" s="34">
        <v>214132093.15000001</v>
      </c>
      <c r="E64" s="34">
        <v>-214132093.15000001</v>
      </c>
      <c r="F64" s="32">
        <f t="shared" si="1"/>
        <v>0</v>
      </c>
      <c r="G64" s="34">
        <v>0</v>
      </c>
      <c r="H64" s="34">
        <v>0</v>
      </c>
      <c r="I64" s="33">
        <f t="shared" si="0"/>
        <v>0</v>
      </c>
    </row>
    <row r="65" spans="1:9" x14ac:dyDescent="0.25">
      <c r="A65" s="29"/>
      <c r="B65" s="30" t="s">
        <v>144</v>
      </c>
      <c r="C65" s="31">
        <v>7200</v>
      </c>
      <c r="D65" s="34">
        <v>0</v>
      </c>
      <c r="E65" s="34">
        <v>0</v>
      </c>
      <c r="F65" s="32">
        <f t="shared" si="1"/>
        <v>0</v>
      </c>
      <c r="G65" s="34">
        <v>0</v>
      </c>
      <c r="H65" s="34">
        <v>0</v>
      </c>
      <c r="I65" s="33">
        <f t="shared" si="0"/>
        <v>0</v>
      </c>
    </row>
    <row r="66" spans="1:9" x14ac:dyDescent="0.25">
      <c r="A66" s="29"/>
      <c r="B66" s="30" t="s">
        <v>145</v>
      </c>
      <c r="C66" s="31">
        <v>7300</v>
      </c>
      <c r="D66" s="34">
        <v>0</v>
      </c>
      <c r="E66" s="34">
        <v>0</v>
      </c>
      <c r="F66" s="32">
        <f t="shared" si="1"/>
        <v>0</v>
      </c>
      <c r="G66" s="34">
        <v>0</v>
      </c>
      <c r="H66" s="34">
        <v>0</v>
      </c>
      <c r="I66" s="33">
        <f t="shared" si="0"/>
        <v>0</v>
      </c>
    </row>
    <row r="67" spans="1:9" x14ac:dyDescent="0.25">
      <c r="A67" s="29"/>
      <c r="B67" s="30" t="s">
        <v>146</v>
      </c>
      <c r="C67" s="31">
        <v>7400</v>
      </c>
      <c r="D67" s="34">
        <v>0</v>
      </c>
      <c r="E67" s="34">
        <v>0</v>
      </c>
      <c r="F67" s="32">
        <f t="shared" si="1"/>
        <v>0</v>
      </c>
      <c r="G67" s="34">
        <v>0</v>
      </c>
      <c r="H67" s="34">
        <v>0</v>
      </c>
      <c r="I67" s="33">
        <f t="shared" si="0"/>
        <v>0</v>
      </c>
    </row>
    <row r="68" spans="1:9" x14ac:dyDescent="0.25">
      <c r="A68" s="29"/>
      <c r="B68" s="30" t="s">
        <v>147</v>
      </c>
      <c r="C68" s="31">
        <v>7500</v>
      </c>
      <c r="D68" s="34">
        <v>0</v>
      </c>
      <c r="E68" s="34">
        <v>0</v>
      </c>
      <c r="F68" s="32">
        <f t="shared" si="1"/>
        <v>0</v>
      </c>
      <c r="G68" s="34">
        <v>0</v>
      </c>
      <c r="H68" s="34">
        <v>0</v>
      </c>
      <c r="I68" s="33">
        <f t="shared" si="0"/>
        <v>0</v>
      </c>
    </row>
    <row r="69" spans="1:9" x14ac:dyDescent="0.25">
      <c r="A69" s="29"/>
      <c r="B69" s="30" t="s">
        <v>148</v>
      </c>
      <c r="C69" s="31">
        <v>7600</v>
      </c>
      <c r="D69" s="34">
        <v>0</v>
      </c>
      <c r="E69" s="34">
        <v>0</v>
      </c>
      <c r="F69" s="32">
        <f t="shared" si="1"/>
        <v>0</v>
      </c>
      <c r="G69" s="34">
        <v>0</v>
      </c>
      <c r="H69" s="34">
        <v>0</v>
      </c>
      <c r="I69" s="33">
        <f t="shared" si="0"/>
        <v>0</v>
      </c>
    </row>
    <row r="70" spans="1:9" x14ac:dyDescent="0.25">
      <c r="A70" s="29"/>
      <c r="B70" s="30" t="s">
        <v>149</v>
      </c>
      <c r="C70" s="31">
        <v>7900</v>
      </c>
      <c r="D70" s="34">
        <v>206000000</v>
      </c>
      <c r="E70" s="34">
        <v>-206000000</v>
      </c>
      <c r="F70" s="32">
        <f t="shared" si="1"/>
        <v>0</v>
      </c>
      <c r="G70" s="34">
        <v>0</v>
      </c>
      <c r="H70" s="34">
        <v>0</v>
      </c>
      <c r="I70" s="33">
        <f t="shared" si="0"/>
        <v>0</v>
      </c>
    </row>
    <row r="71" spans="1:9" x14ac:dyDescent="0.25">
      <c r="A71" s="24" t="s">
        <v>150</v>
      </c>
      <c r="B71" s="25"/>
      <c r="C71" s="26">
        <v>8000</v>
      </c>
      <c r="D71" s="27">
        <f>SUM(D72:D74)</f>
        <v>5515845678</v>
      </c>
      <c r="E71" s="27">
        <f>SUM(E72:E74)</f>
        <v>3057645723.4000001</v>
      </c>
      <c r="F71" s="27">
        <f t="shared" si="1"/>
        <v>8573491401.3999996</v>
      </c>
      <c r="G71" s="27">
        <f>SUM(G72:G74)</f>
        <v>8558666851.25</v>
      </c>
      <c r="H71" s="27">
        <f>SUM(H72:H74)</f>
        <v>8558666851.25</v>
      </c>
      <c r="I71" s="28">
        <f t="shared" si="0"/>
        <v>14824550.149999619</v>
      </c>
    </row>
    <row r="72" spans="1:9" x14ac:dyDescent="0.25">
      <c r="A72" s="29"/>
      <c r="B72" s="30" t="s">
        <v>34</v>
      </c>
      <c r="C72" s="31">
        <v>8100</v>
      </c>
      <c r="D72" s="34">
        <v>3674005097</v>
      </c>
      <c r="E72" s="34">
        <v>-9785325.3399999999</v>
      </c>
      <c r="F72" s="32">
        <f t="shared" si="1"/>
        <v>3664219771.6599998</v>
      </c>
      <c r="G72" s="34">
        <v>3664211463.9699998</v>
      </c>
      <c r="H72" s="34">
        <v>3664211463.9699998</v>
      </c>
      <c r="I72" s="33">
        <f t="shared" si="0"/>
        <v>8307.6900000572205</v>
      </c>
    </row>
    <row r="73" spans="1:9" x14ac:dyDescent="0.25">
      <c r="A73" s="29"/>
      <c r="B73" s="30" t="s">
        <v>151</v>
      </c>
      <c r="C73" s="31">
        <v>8300</v>
      </c>
      <c r="D73" s="34">
        <v>1841840581</v>
      </c>
      <c r="E73" s="34">
        <v>35136856.670000002</v>
      </c>
      <c r="F73" s="32">
        <f t="shared" si="1"/>
        <v>1876977437.6700001</v>
      </c>
      <c r="G73" s="34">
        <v>1876477437.6700001</v>
      </c>
      <c r="H73" s="34">
        <v>1876477437.6700001</v>
      </c>
      <c r="I73" s="33">
        <f t="shared" si="0"/>
        <v>500000</v>
      </c>
    </row>
    <row r="74" spans="1:9" x14ac:dyDescent="0.25">
      <c r="A74" s="29"/>
      <c r="B74" s="30" t="s">
        <v>152</v>
      </c>
      <c r="C74" s="31">
        <v>8500</v>
      </c>
      <c r="D74" s="34">
        <v>0</v>
      </c>
      <c r="E74" s="34">
        <v>3032294192.0700002</v>
      </c>
      <c r="F74" s="32">
        <f t="shared" si="1"/>
        <v>3032294192.0700002</v>
      </c>
      <c r="G74" s="34">
        <v>3017977949.6100001</v>
      </c>
      <c r="H74" s="34">
        <v>3017977949.6100001</v>
      </c>
      <c r="I74" s="33">
        <f t="shared" si="0"/>
        <v>14316242.460000038</v>
      </c>
    </row>
    <row r="75" spans="1:9" x14ac:dyDescent="0.25">
      <c r="A75" s="24" t="s">
        <v>153</v>
      </c>
      <c r="B75" s="25"/>
      <c r="C75" s="26">
        <v>9000</v>
      </c>
      <c r="D75" s="27">
        <f>SUM(D76:D82)</f>
        <v>3270730009.3400002</v>
      </c>
      <c r="E75" s="27">
        <f>SUM(E76:E82)</f>
        <v>3208098268.3999996</v>
      </c>
      <c r="F75" s="27">
        <f t="shared" si="1"/>
        <v>6478828277.7399998</v>
      </c>
      <c r="G75" s="27">
        <f>SUM(G76:G82)</f>
        <v>6467396752.3199997</v>
      </c>
      <c r="H75" s="27">
        <f>SUM(H76:H82)</f>
        <v>6466798449.0400009</v>
      </c>
      <c r="I75" s="28">
        <f t="shared" ref="I75:I82" si="2">F75-G75</f>
        <v>11431525.420000076</v>
      </c>
    </row>
    <row r="76" spans="1:9" x14ac:dyDescent="0.25">
      <c r="A76" s="29"/>
      <c r="B76" s="30" t="s">
        <v>154</v>
      </c>
      <c r="C76" s="31">
        <v>9100</v>
      </c>
      <c r="D76" s="34">
        <v>1331290950.04</v>
      </c>
      <c r="E76" s="34">
        <v>2669084161.1399999</v>
      </c>
      <c r="F76" s="32">
        <f t="shared" ref="F76:F82" si="3">+D76+E76</f>
        <v>4000375111.1799998</v>
      </c>
      <c r="G76" s="34">
        <v>4000375111.1799998</v>
      </c>
      <c r="H76" s="34">
        <v>4000375111.1799998</v>
      </c>
      <c r="I76" s="33">
        <f t="shared" si="2"/>
        <v>0</v>
      </c>
    </row>
    <row r="77" spans="1:9" x14ac:dyDescent="0.25">
      <c r="A77" s="29"/>
      <c r="B77" s="30" t="s">
        <v>155</v>
      </c>
      <c r="C77" s="31">
        <v>9200</v>
      </c>
      <c r="D77" s="34">
        <v>773041253.29999995</v>
      </c>
      <c r="E77" s="34">
        <v>-29854610.780000001</v>
      </c>
      <c r="F77" s="32">
        <f t="shared" si="3"/>
        <v>743186642.51999998</v>
      </c>
      <c r="G77" s="34">
        <v>743186642.51999998</v>
      </c>
      <c r="H77" s="34">
        <v>743186642.51999998</v>
      </c>
      <c r="I77" s="33">
        <f t="shared" si="2"/>
        <v>0</v>
      </c>
    </row>
    <row r="78" spans="1:9" x14ac:dyDescent="0.25">
      <c r="A78" s="29"/>
      <c r="B78" s="30" t="s">
        <v>156</v>
      </c>
      <c r="C78" s="31">
        <v>9300</v>
      </c>
      <c r="D78" s="34">
        <v>0</v>
      </c>
      <c r="E78" s="34">
        <v>133296289.09</v>
      </c>
      <c r="F78" s="32">
        <f t="shared" si="3"/>
        <v>133296289.09</v>
      </c>
      <c r="G78" s="34">
        <v>133296289.09</v>
      </c>
      <c r="H78" s="34">
        <v>133296289.09</v>
      </c>
      <c r="I78" s="33">
        <f t="shared" si="2"/>
        <v>0</v>
      </c>
    </row>
    <row r="79" spans="1:9" x14ac:dyDescent="0.25">
      <c r="A79" s="29"/>
      <c r="B79" s="30" t="s">
        <v>157</v>
      </c>
      <c r="C79" s="31">
        <v>9400</v>
      </c>
      <c r="D79" s="34">
        <v>0</v>
      </c>
      <c r="E79" s="34">
        <v>253745240.18000001</v>
      </c>
      <c r="F79" s="32">
        <f t="shared" si="3"/>
        <v>253745240.18000001</v>
      </c>
      <c r="G79" s="34">
        <v>253745240.18000001</v>
      </c>
      <c r="H79" s="34">
        <v>253745240.18000001</v>
      </c>
      <c r="I79" s="33">
        <f t="shared" si="2"/>
        <v>0</v>
      </c>
    </row>
    <row r="80" spans="1:9" x14ac:dyDescent="0.25">
      <c r="A80" s="29"/>
      <c r="B80" s="30" t="s">
        <v>158</v>
      </c>
      <c r="C80" s="31">
        <v>9500</v>
      </c>
      <c r="D80" s="34">
        <v>0</v>
      </c>
      <c r="E80" s="34">
        <v>71632723.950000003</v>
      </c>
      <c r="F80" s="32">
        <f t="shared" si="3"/>
        <v>71632723.950000003</v>
      </c>
      <c r="G80" s="34">
        <v>71632723.950000003</v>
      </c>
      <c r="H80" s="34">
        <v>71632723.950000003</v>
      </c>
      <c r="I80" s="33">
        <f t="shared" si="2"/>
        <v>0</v>
      </c>
    </row>
    <row r="81" spans="1:9" x14ac:dyDescent="0.25">
      <c r="A81" s="29"/>
      <c r="B81" s="30" t="s">
        <v>159</v>
      </c>
      <c r="C81" s="31">
        <v>9600</v>
      </c>
      <c r="D81" s="34">
        <v>266397806</v>
      </c>
      <c r="E81" s="34">
        <v>-68984119.159999996</v>
      </c>
      <c r="F81" s="32">
        <f t="shared" si="3"/>
        <v>197413686.84</v>
      </c>
      <c r="G81" s="34">
        <v>197413686.84</v>
      </c>
      <c r="H81" s="34">
        <v>197215383.56</v>
      </c>
      <c r="I81" s="33">
        <f t="shared" si="2"/>
        <v>0</v>
      </c>
    </row>
    <row r="82" spans="1:9" ht="15.75" thickBot="1" x14ac:dyDescent="0.3">
      <c r="A82" s="29"/>
      <c r="B82" s="30" t="s">
        <v>160</v>
      </c>
      <c r="C82" s="31">
        <v>9900</v>
      </c>
      <c r="D82" s="34">
        <v>900000000</v>
      </c>
      <c r="E82" s="34">
        <v>179178583.97999999</v>
      </c>
      <c r="F82" s="32">
        <f t="shared" si="3"/>
        <v>1079178583.98</v>
      </c>
      <c r="G82" s="34">
        <v>1067747058.5599999</v>
      </c>
      <c r="H82" s="34">
        <v>1067347058.5599999</v>
      </c>
      <c r="I82" s="33">
        <f t="shared" si="2"/>
        <v>11431525.420000076</v>
      </c>
    </row>
    <row r="83" spans="1:9" ht="15.75" thickBot="1" x14ac:dyDescent="0.3">
      <c r="A83" s="42"/>
      <c r="B83" s="43" t="s">
        <v>161</v>
      </c>
      <c r="C83" s="44"/>
      <c r="D83" s="45">
        <f>SUM(D11,D19,D29,D39,D49,D59,D63,D71,D75)</f>
        <v>48594060440</v>
      </c>
      <c r="E83" s="45">
        <f t="shared" ref="E83:I83" si="4">SUM(E11,E19,E29,E39,E49,E59,E63,E71,E75)</f>
        <v>8906145272.6599998</v>
      </c>
      <c r="F83" s="45">
        <f t="shared" si="4"/>
        <v>57500205712.660004</v>
      </c>
      <c r="G83" s="45">
        <f t="shared" si="4"/>
        <v>56984839339.519997</v>
      </c>
      <c r="H83" s="45">
        <f t="shared" si="4"/>
        <v>53975406063.090004</v>
      </c>
      <c r="I83" s="45">
        <f t="shared" si="4"/>
        <v>515366373.14000154</v>
      </c>
    </row>
  </sheetData>
  <mergeCells count="9">
    <mergeCell ref="A8:B10"/>
    <mergeCell ref="C8:C10"/>
    <mergeCell ref="D8:H8"/>
    <mergeCell ref="I8:I9"/>
    <mergeCell ref="A3:I3"/>
    <mergeCell ref="A4:I4"/>
    <mergeCell ref="A5:I5"/>
    <mergeCell ref="A6:I6"/>
    <mergeCell ref="A7:I7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2" workbookViewId="0">
      <selection activeCell="O9" sqref="O9"/>
    </sheetView>
  </sheetViews>
  <sheetFormatPr baseColWidth="10" defaultRowHeight="15" x14ac:dyDescent="0.25"/>
  <cols>
    <col min="1" max="1" width="3" style="18" customWidth="1"/>
    <col min="2" max="2" width="46" style="18" customWidth="1"/>
    <col min="3" max="3" width="19.140625" style="18" hidden="1" customWidth="1"/>
    <col min="4" max="8" width="17.42578125" style="18" bestFit="1" customWidth="1"/>
    <col min="9" max="9" width="17" style="18" bestFit="1" customWidth="1"/>
    <col min="10" max="16384" width="11.42578125" style="18"/>
  </cols>
  <sheetData>
    <row r="1" spans="1:10" s="17" customFormat="1" ht="12.75" hidden="1" x14ac:dyDescent="0.2">
      <c r="A1" s="15" t="s">
        <v>81</v>
      </c>
      <c r="B1" s="16"/>
      <c r="C1" s="15" t="s">
        <v>162</v>
      </c>
      <c r="E1" s="15" t="s">
        <v>83</v>
      </c>
      <c r="F1" s="17" t="str">
        <f>IF(AND(LEN(E1)&gt;0,LEN(E1)&lt;=2),MID(E1,1,2),MID(E1,1,FIND(".",E1)-1))</f>
        <v>1</v>
      </c>
      <c r="G1" s="17" t="str">
        <f>IF(LEN(E1)&gt;2,MID(E1,FIND(".",E1)+2,2),0)</f>
        <v>16</v>
      </c>
      <c r="H1" s="17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s="17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Diciembre</v>
      </c>
      <c r="J1" s="17">
        <f>IF(OR(G1="13",G1="14",G1="15",G1="16"),12,G1)</f>
        <v>12</v>
      </c>
    </row>
    <row r="2" spans="1:10" ht="15.75" thickBot="1" x14ac:dyDescent="0.3"/>
    <row r="3" spans="1:10" ht="18.75" x14ac:dyDescent="0.3">
      <c r="A3" s="100" t="s">
        <v>25</v>
      </c>
      <c r="B3" s="101"/>
      <c r="C3" s="101"/>
      <c r="D3" s="101"/>
      <c r="E3" s="101"/>
      <c r="F3" s="101"/>
      <c r="G3" s="101"/>
      <c r="H3" s="101"/>
      <c r="I3" s="102"/>
    </row>
    <row r="4" spans="1:10" ht="15.75" x14ac:dyDescent="0.25">
      <c r="A4" s="103" t="s">
        <v>26</v>
      </c>
      <c r="B4" s="104"/>
      <c r="C4" s="104"/>
      <c r="D4" s="104"/>
      <c r="E4" s="104"/>
      <c r="F4" s="104"/>
      <c r="G4" s="104"/>
      <c r="H4" s="104"/>
      <c r="I4" s="105"/>
    </row>
    <row r="5" spans="1:10" x14ac:dyDescent="0.25">
      <c r="A5" s="106" t="s">
        <v>163</v>
      </c>
      <c r="B5" s="107"/>
      <c r="C5" s="107"/>
      <c r="D5" s="107"/>
      <c r="E5" s="107"/>
      <c r="F5" s="107"/>
      <c r="G5" s="107"/>
      <c r="H5" s="107"/>
      <c r="I5" s="108"/>
    </row>
    <row r="6" spans="1:10" ht="15.75" thickBot="1" x14ac:dyDescent="0.3">
      <c r="A6" s="109" t="str">
        <f>IF( G1=0,CONCATENATE(H1," del ",A1),CONCATENATE("Del ",F1," de ", H1, " al ",DAY(EOMONTH(DATE(A1,J1,1),0))," de ",I1," del ",A1))</f>
        <v>Del 1 de Enero al 31 de Diciembre del 2015</v>
      </c>
      <c r="B6" s="110"/>
      <c r="C6" s="110"/>
      <c r="D6" s="110"/>
      <c r="E6" s="110"/>
      <c r="F6" s="110"/>
      <c r="G6" s="110"/>
      <c r="H6" s="110"/>
      <c r="I6" s="111"/>
    </row>
    <row r="7" spans="1:10" ht="28.5" hidden="1" customHeight="1" x14ac:dyDescent="0.25">
      <c r="A7" s="112" t="str">
        <f>CONCATENATE("Elaborado el ",MID(C1,1,2), " de ",IF(MID(C1,4,2)="01","Enero",IF(MID(C1,4,2)="02","Febrero",IF(MID(C1,4,2)="03","Marzo",IF(MID(C1,4,2)="04","Abril",IF(MID(C1,4,2)="05","Mayo",IF(MID(C1,4,2)="06","Junio",IF(MID(C1,4,2)="07","Julio",IF(MID(C1,4,2)="08","Agosto",IF(MID(C1,4,2)="09","Septiembre",IF(MID(C1,4,2)="10","Octubre",IF(MID(C1,4,2)="11","Noviembre","Diciembre")))))))))))," del ",MID(C1,7,4))</f>
        <v>Elaborado el 14 de Abril del 2016</v>
      </c>
      <c r="B7" s="113"/>
      <c r="C7" s="113"/>
      <c r="D7" s="113"/>
      <c r="E7" s="113"/>
      <c r="F7" s="113"/>
      <c r="G7" s="113"/>
      <c r="H7" s="113"/>
      <c r="I7" s="114"/>
    </row>
    <row r="8" spans="1:10" ht="28.5" customHeight="1" thickBot="1" x14ac:dyDescent="0.3">
      <c r="A8" s="115" t="s">
        <v>164</v>
      </c>
      <c r="B8" s="116"/>
      <c r="C8" s="119" t="s">
        <v>85</v>
      </c>
      <c r="D8" s="122" t="s">
        <v>86</v>
      </c>
      <c r="E8" s="123"/>
      <c r="F8" s="123"/>
      <c r="G8" s="123"/>
      <c r="H8" s="124"/>
      <c r="I8" s="125" t="s">
        <v>87</v>
      </c>
    </row>
    <row r="9" spans="1:10" ht="30.75" thickBot="1" x14ac:dyDescent="0.3">
      <c r="A9" s="109"/>
      <c r="B9" s="110"/>
      <c r="C9" s="120"/>
      <c r="D9" s="19" t="s">
        <v>29</v>
      </c>
      <c r="E9" s="20" t="s">
        <v>88</v>
      </c>
      <c r="F9" s="19" t="s">
        <v>30</v>
      </c>
      <c r="G9" s="19" t="s">
        <v>31</v>
      </c>
      <c r="H9" s="19" t="s">
        <v>32</v>
      </c>
      <c r="I9" s="126"/>
    </row>
    <row r="10" spans="1:10" ht="28.5" customHeight="1" thickBot="1" x14ac:dyDescent="0.3">
      <c r="A10" s="117"/>
      <c r="B10" s="118"/>
      <c r="C10" s="121"/>
      <c r="D10" s="21">
        <v>1</v>
      </c>
      <c r="E10" s="22">
        <v>2</v>
      </c>
      <c r="F10" s="21" t="s">
        <v>89</v>
      </c>
      <c r="G10" s="21">
        <v>4</v>
      </c>
      <c r="H10" s="21">
        <v>5</v>
      </c>
      <c r="I10" s="23" t="s">
        <v>90</v>
      </c>
    </row>
    <row r="11" spans="1:10" ht="28.5" customHeight="1" x14ac:dyDescent="0.25">
      <c r="A11" s="24"/>
      <c r="B11" s="25"/>
      <c r="C11" s="26">
        <v>1000</v>
      </c>
      <c r="D11" s="27"/>
      <c r="E11" s="27"/>
      <c r="F11" s="27"/>
      <c r="G11" s="27"/>
      <c r="H11" s="27"/>
      <c r="I11" s="28"/>
    </row>
    <row r="12" spans="1:10" x14ac:dyDescent="0.25">
      <c r="A12" s="24"/>
      <c r="B12" s="46" t="s">
        <v>59</v>
      </c>
      <c r="C12" s="26"/>
      <c r="D12" s="27">
        <v>38020482807.510002</v>
      </c>
      <c r="E12" s="27">
        <v>4675622578.7700005</v>
      </c>
      <c r="F12" s="27">
        <f>+D12+E12</f>
        <v>42696105386.279999</v>
      </c>
      <c r="G12" s="27">
        <v>42478026878.660004</v>
      </c>
      <c r="H12" s="27">
        <v>40239199258.190002</v>
      </c>
      <c r="I12" s="28">
        <f>F12-G12</f>
        <v>218078507.61999512</v>
      </c>
    </row>
    <row r="13" spans="1:10" ht="31.5" customHeight="1" x14ac:dyDescent="0.25">
      <c r="A13" s="24"/>
      <c r="B13" s="47"/>
      <c r="C13" s="26"/>
      <c r="D13" s="27"/>
      <c r="E13" s="27"/>
      <c r="F13" s="27"/>
      <c r="G13" s="27"/>
      <c r="H13" s="27"/>
      <c r="I13" s="28"/>
    </row>
    <row r="14" spans="1:10" x14ac:dyDescent="0.25">
      <c r="A14" s="24"/>
      <c r="B14" s="46" t="s">
        <v>165</v>
      </c>
      <c r="C14" s="26"/>
      <c r="D14" s="27">
        <v>7302847623.1499996</v>
      </c>
      <c r="E14" s="27">
        <v>1022424425.49</v>
      </c>
      <c r="F14" s="27">
        <f>+D14+E14</f>
        <v>8325272048.6399994</v>
      </c>
      <c r="G14" s="27">
        <v>8039415908.54</v>
      </c>
      <c r="H14" s="27">
        <v>7269408355.8599997</v>
      </c>
      <c r="I14" s="28">
        <f>F14-G14</f>
        <v>285856140.09999943</v>
      </c>
    </row>
    <row r="15" spans="1:10" x14ac:dyDescent="0.25">
      <c r="A15" s="24"/>
      <c r="B15" s="47"/>
      <c r="C15" s="26"/>
      <c r="D15" s="27"/>
      <c r="E15" s="27"/>
      <c r="F15" s="27"/>
      <c r="G15" s="27"/>
      <c r="H15" s="27"/>
      <c r="I15" s="28"/>
    </row>
    <row r="16" spans="1:10" x14ac:dyDescent="0.25">
      <c r="A16" s="24"/>
      <c r="B16" s="46" t="s">
        <v>166</v>
      </c>
      <c r="C16" s="26"/>
      <c r="D16" s="27">
        <v>3270730009.3400002</v>
      </c>
      <c r="E16" s="27">
        <v>3208098268.4000001</v>
      </c>
      <c r="F16" s="27">
        <f>+D16+E16</f>
        <v>6478828277.7399998</v>
      </c>
      <c r="G16" s="27">
        <v>6467396552.3199997</v>
      </c>
      <c r="H16" s="27">
        <v>6466798449.04</v>
      </c>
      <c r="I16" s="28">
        <f>F16-G16</f>
        <v>11431725.420000076</v>
      </c>
    </row>
    <row r="17" spans="1:9" ht="15.75" thickBot="1" x14ac:dyDescent="0.3">
      <c r="A17" s="29"/>
      <c r="B17" s="46"/>
      <c r="C17" s="31">
        <v>1100</v>
      </c>
      <c r="D17" s="32"/>
      <c r="E17" s="32"/>
      <c r="F17" s="32"/>
      <c r="G17" s="32"/>
      <c r="H17" s="32"/>
      <c r="I17" s="33"/>
    </row>
    <row r="18" spans="1:9" ht="15.75" hidden="1" thickBot="1" x14ac:dyDescent="0.3">
      <c r="A18" s="29"/>
      <c r="B18" s="46" t="s">
        <v>167</v>
      </c>
      <c r="C18" s="31">
        <v>1200</v>
      </c>
      <c r="D18" s="34"/>
      <c r="E18" s="34"/>
      <c r="F18" s="32"/>
      <c r="G18" s="34"/>
      <c r="H18" s="34"/>
      <c r="I18" s="33"/>
    </row>
    <row r="19" spans="1:9" ht="15.75" hidden="1" thickBot="1" x14ac:dyDescent="0.3">
      <c r="A19" s="29"/>
      <c r="B19" s="46"/>
      <c r="C19" s="31">
        <v>1300</v>
      </c>
      <c r="D19" s="34"/>
      <c r="E19" s="34"/>
      <c r="F19" s="32"/>
      <c r="G19" s="34"/>
      <c r="H19" s="34"/>
      <c r="I19" s="33"/>
    </row>
    <row r="20" spans="1:9" ht="15.75" hidden="1" thickBot="1" x14ac:dyDescent="0.3">
      <c r="A20" s="29"/>
      <c r="B20" s="46" t="s">
        <v>34</v>
      </c>
      <c r="C20" s="31">
        <v>1400</v>
      </c>
      <c r="D20" s="34"/>
      <c r="E20" s="34"/>
      <c r="F20" s="32"/>
      <c r="G20" s="34"/>
      <c r="H20" s="34"/>
      <c r="I20" s="33"/>
    </row>
    <row r="21" spans="1:9" ht="15.75" hidden="1" thickBot="1" x14ac:dyDescent="0.3">
      <c r="A21" s="29"/>
      <c r="B21" s="30"/>
      <c r="C21" s="31">
        <v>1500</v>
      </c>
      <c r="D21" s="34"/>
      <c r="E21" s="34"/>
      <c r="F21" s="32"/>
      <c r="G21" s="34"/>
      <c r="H21" s="34"/>
      <c r="I21" s="33"/>
    </row>
    <row r="22" spans="1:9" ht="15.75" hidden="1" thickBot="1" x14ac:dyDescent="0.3">
      <c r="A22" s="29"/>
      <c r="B22" s="30"/>
      <c r="C22" s="31">
        <v>1600</v>
      </c>
      <c r="D22" s="34"/>
      <c r="E22" s="34"/>
      <c r="F22" s="32"/>
      <c r="G22" s="34"/>
      <c r="H22" s="34"/>
      <c r="I22" s="33"/>
    </row>
    <row r="23" spans="1:9" ht="15.75" hidden="1" thickBot="1" x14ac:dyDescent="0.3">
      <c r="A23" s="29"/>
      <c r="B23" s="30"/>
      <c r="C23" s="31">
        <v>1700</v>
      </c>
      <c r="D23" s="34"/>
      <c r="E23" s="34"/>
      <c r="F23" s="32"/>
      <c r="G23" s="34"/>
      <c r="H23" s="34"/>
      <c r="I23" s="33"/>
    </row>
    <row r="24" spans="1:9" ht="15.75" thickBot="1" x14ac:dyDescent="0.3">
      <c r="A24" s="42"/>
      <c r="B24" s="43" t="s">
        <v>161</v>
      </c>
      <c r="C24" s="44"/>
      <c r="D24" s="45">
        <f>SUM(D12,D14,D16)</f>
        <v>48594060440</v>
      </c>
      <c r="E24" s="45">
        <f>SUM(E12,E14,E16)</f>
        <v>8906145272.6599998</v>
      </c>
      <c r="F24" s="45">
        <f t="shared" ref="F24:I24" si="0">SUM(F12,F14,F16)</f>
        <v>57500205712.659996</v>
      </c>
      <c r="G24" s="45">
        <f t="shared" si="0"/>
        <v>56984839339.520004</v>
      </c>
      <c r="H24" s="45">
        <f t="shared" si="0"/>
        <v>53975406063.090004</v>
      </c>
      <c r="I24" s="45">
        <f t="shared" si="0"/>
        <v>515366373.13999462</v>
      </c>
    </row>
    <row r="25" spans="1:9" x14ac:dyDescent="0.25">
      <c r="F25" s="48"/>
    </row>
    <row r="26" spans="1:9" x14ac:dyDescent="0.25">
      <c r="D26" s="49"/>
      <c r="G26" s="50"/>
      <c r="H26" s="50"/>
    </row>
    <row r="27" spans="1:9" x14ac:dyDescent="0.25">
      <c r="G27" s="50"/>
      <c r="H27" s="50"/>
    </row>
    <row r="28" spans="1:9" x14ac:dyDescent="0.25">
      <c r="G28" s="50"/>
      <c r="H28" s="50"/>
      <c r="I28" s="48"/>
    </row>
  </sheetData>
  <mergeCells count="9">
    <mergeCell ref="A3:I3"/>
    <mergeCell ref="A4:I4"/>
    <mergeCell ref="A5:I5"/>
    <mergeCell ref="A6:I6"/>
    <mergeCell ref="A7:I7"/>
    <mergeCell ref="A8:B10"/>
    <mergeCell ref="C8:C10"/>
    <mergeCell ref="D8:H8"/>
    <mergeCell ref="I8:I9"/>
  </mergeCells>
  <pageMargins left="0.7" right="0.7" top="0.75" bottom="0.7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2" workbookViewId="0">
      <selection activeCell="E24" sqref="E24"/>
    </sheetView>
  </sheetViews>
  <sheetFormatPr baseColWidth="10" defaultRowHeight="15" x14ac:dyDescent="0.25"/>
  <cols>
    <col min="1" max="1" width="1.42578125" style="18" customWidth="1"/>
    <col min="2" max="2" width="45" style="18" customWidth="1"/>
    <col min="3" max="3" width="17.42578125" style="18" bestFit="1" customWidth="1"/>
    <col min="4" max="4" width="17" style="18" bestFit="1" customWidth="1"/>
    <col min="5" max="7" width="17.42578125" style="18" bestFit="1" customWidth="1"/>
    <col min="8" max="8" width="14.7109375" style="18" bestFit="1" customWidth="1"/>
    <col min="9" max="16384" width="11.42578125" style="18"/>
  </cols>
  <sheetData>
    <row r="1" spans="1:8" s="17" customFormat="1" ht="12.75" hidden="1" x14ac:dyDescent="0.2">
      <c r="A1" s="15" t="s">
        <v>81</v>
      </c>
      <c r="B1" s="16"/>
      <c r="D1" s="15" t="s">
        <v>83</v>
      </c>
      <c r="E1" s="17" t="str">
        <f>IF(AND(LEN(D1)&gt;0,LEN(D1)&lt;=2),MID(D1,1,2),MID(D1,1,FIND(".",D1)-1))</f>
        <v>1</v>
      </c>
      <c r="F1" s="17" t="str">
        <f>IF(LEN(D1)&gt;2,MID(D1,FIND(".",D1)+2,2),0)</f>
        <v>16</v>
      </c>
      <c r="G1" s="17" t="str">
        <f>IF(E1="1","Enero",IF(E1="2","Febrero",IF(E1="3","Marzo",IF(E1="4","Abril",IF(E1="5","Mayo",IF(E1="6","Junio",IF(E1="7","Julio",IF(E1="8","Agosto",IF(E1="9","Septiembre",IF(E1="10","Octubre",IF(E1="11","Noviembre","Diciembre")))))))))))</f>
        <v>Enero</v>
      </c>
      <c r="H1" s="17" t="str">
        <f>IF(F1&lt;&gt;0,IF(F1="1","Enero",IF(F1="2","Febrero",IF(F1="3","Marzo",IF(F1="4","Abril",IF(F1="5","Mayo",IF(F1="6","Junio",IF(F1="7","Julio",IF(F1="8","Agosto",IF(F1="9","Septiembre",IF(F1="10","Octubre",IF(F1="11","Noviembre","Diciembre"))))))))))),0)</f>
        <v>Diciembre</v>
      </c>
    </row>
    <row r="2" spans="1:8" ht="15.75" thickBot="1" x14ac:dyDescent="0.3"/>
    <row r="3" spans="1:8" ht="18.75" x14ac:dyDescent="0.3">
      <c r="A3" s="100" t="s">
        <v>25</v>
      </c>
      <c r="B3" s="101"/>
      <c r="C3" s="101"/>
      <c r="D3" s="101"/>
      <c r="E3" s="101"/>
      <c r="F3" s="101"/>
      <c r="G3" s="101"/>
      <c r="H3" s="102"/>
    </row>
    <row r="4" spans="1:8" ht="15.75" x14ac:dyDescent="0.25">
      <c r="A4" s="103" t="s">
        <v>26</v>
      </c>
      <c r="B4" s="104"/>
      <c r="C4" s="104"/>
      <c r="D4" s="104"/>
      <c r="E4" s="104"/>
      <c r="F4" s="104"/>
      <c r="G4" s="104"/>
      <c r="H4" s="105"/>
    </row>
    <row r="5" spans="1:8" x14ac:dyDescent="0.25">
      <c r="A5" s="106" t="s">
        <v>168</v>
      </c>
      <c r="B5" s="107"/>
      <c r="C5" s="107"/>
      <c r="D5" s="107"/>
      <c r="E5" s="107"/>
      <c r="F5" s="107"/>
      <c r="G5" s="107"/>
      <c r="H5" s="108"/>
    </row>
    <row r="6" spans="1:8" ht="37.5" customHeight="1" thickBot="1" x14ac:dyDescent="0.3">
      <c r="A6" s="109" t="s">
        <v>84</v>
      </c>
      <c r="B6" s="110"/>
      <c r="C6" s="110"/>
      <c r="D6" s="110"/>
      <c r="E6" s="110"/>
      <c r="F6" s="110"/>
      <c r="G6" s="110"/>
      <c r="H6" s="111"/>
    </row>
    <row r="7" spans="1:8" ht="15.75" hidden="1" thickBot="1" x14ac:dyDescent="0.3">
      <c r="A7" s="112" t="e">
        <f>CONCATENATE("Elaborado el ",MID(#REF!,1,2), " de ",IF(MID(#REF!,4,2)="01","Enero",IF(MID(#REF!,4,2)="02","Febrero",IF(MID(#REF!,4,2)="03","Marzo",IF(MID(#REF!,4,2)="04","Abril",IF(MID(#REF!,4,2)="05","Mayo",IF(MID(#REF!,4,2)="06","Junio",IF(MID(#REF!,4,2)="07","Julio",IF(MID(#REF!,4,2)="08","Agosto",IF(MID(#REF!,4,2)="09","Septiembre",IF(MID(#REF!,4,2)="10","Octubre",IF(MID(#REF!,4,2)="11","Noviembre","Diciembre")))))))))))," del ",MID(#REF!,7,4))</f>
        <v>#REF!</v>
      </c>
      <c r="B7" s="113"/>
      <c r="C7" s="113"/>
      <c r="D7" s="113"/>
      <c r="E7" s="113"/>
      <c r="F7" s="113"/>
      <c r="G7" s="113"/>
      <c r="H7" s="114"/>
    </row>
    <row r="8" spans="1:8" ht="15.75" thickBot="1" x14ac:dyDescent="0.3">
      <c r="A8" s="115" t="s">
        <v>35</v>
      </c>
      <c r="B8" s="116"/>
      <c r="C8" s="122" t="s">
        <v>86</v>
      </c>
      <c r="D8" s="123"/>
      <c r="E8" s="123"/>
      <c r="F8" s="123"/>
      <c r="G8" s="124"/>
      <c r="H8" s="125" t="s">
        <v>87</v>
      </c>
    </row>
    <row r="9" spans="1:8" ht="30.75" thickBot="1" x14ac:dyDescent="0.3">
      <c r="A9" s="109"/>
      <c r="B9" s="110"/>
      <c r="C9" s="51" t="s">
        <v>29</v>
      </c>
      <c r="D9" s="52" t="s">
        <v>88</v>
      </c>
      <c r="E9" s="51" t="s">
        <v>30</v>
      </c>
      <c r="F9" s="51" t="s">
        <v>31</v>
      </c>
      <c r="G9" s="51" t="s">
        <v>32</v>
      </c>
      <c r="H9" s="126"/>
    </row>
    <row r="10" spans="1:8" ht="15.75" thickBot="1" x14ac:dyDescent="0.3">
      <c r="A10" s="117"/>
      <c r="B10" s="118"/>
      <c r="C10" s="21">
        <v>1</v>
      </c>
      <c r="D10" s="22">
        <v>2</v>
      </c>
      <c r="E10" s="21" t="s">
        <v>89</v>
      </c>
      <c r="F10" s="21">
        <v>4</v>
      </c>
      <c r="G10" s="21">
        <v>5</v>
      </c>
      <c r="H10" s="23" t="s">
        <v>90</v>
      </c>
    </row>
    <row r="11" spans="1:8" x14ac:dyDescent="0.25">
      <c r="A11" s="24"/>
      <c r="B11" s="25"/>
      <c r="C11" s="53"/>
      <c r="D11" s="28"/>
      <c r="E11" s="27"/>
      <c r="F11" s="27"/>
      <c r="G11" s="27"/>
      <c r="H11" s="28"/>
    </row>
    <row r="12" spans="1:8" x14ac:dyDescent="0.25">
      <c r="A12" s="24"/>
      <c r="B12" s="67" t="s">
        <v>74</v>
      </c>
      <c r="C12" s="54">
        <v>670000000</v>
      </c>
      <c r="D12" s="54">
        <v>48966288.979999997</v>
      </c>
      <c r="E12" s="54">
        <f>+C12+D12</f>
        <v>718966288.98000002</v>
      </c>
      <c r="F12" s="54">
        <v>718020468.12</v>
      </c>
      <c r="G12" s="54">
        <v>690336776.5</v>
      </c>
      <c r="H12" s="55">
        <f t="shared" ref="H12:H36" si="0">E12-F12</f>
        <v>945820.86000001431</v>
      </c>
    </row>
    <row r="13" spans="1:8" x14ac:dyDescent="0.25">
      <c r="A13" s="24"/>
      <c r="B13" s="67" t="s">
        <v>75</v>
      </c>
      <c r="C13" s="54">
        <v>939800000</v>
      </c>
      <c r="D13" s="54">
        <v>-36488035.869999997</v>
      </c>
      <c r="E13" s="54">
        <f t="shared" ref="E13:E36" si="1">+C13+D13</f>
        <v>903311964.13</v>
      </c>
      <c r="F13" s="54">
        <v>903069420.99000001</v>
      </c>
      <c r="G13" s="54">
        <v>745472244.04999995</v>
      </c>
      <c r="H13" s="55">
        <f t="shared" si="0"/>
        <v>242543.13999998569</v>
      </c>
    </row>
    <row r="14" spans="1:8" x14ac:dyDescent="0.25">
      <c r="A14" s="24"/>
      <c r="B14" s="67" t="s">
        <v>60</v>
      </c>
      <c r="C14" s="54">
        <v>302656248</v>
      </c>
      <c r="D14" s="54">
        <v>73282979.170000002</v>
      </c>
      <c r="E14" s="54">
        <f t="shared" si="1"/>
        <v>375939227.17000002</v>
      </c>
      <c r="F14" s="54">
        <v>370119727.56</v>
      </c>
      <c r="G14" s="54">
        <v>304714980.72000003</v>
      </c>
      <c r="H14" s="55">
        <f t="shared" si="0"/>
        <v>5819499.6100000143</v>
      </c>
    </row>
    <row r="15" spans="1:8" x14ac:dyDescent="0.25">
      <c r="A15" s="24"/>
      <c r="B15" s="67" t="s">
        <v>61</v>
      </c>
      <c r="C15" s="54">
        <v>411500309</v>
      </c>
      <c r="D15" s="54">
        <v>192757974.94</v>
      </c>
      <c r="E15" s="54">
        <f t="shared" si="1"/>
        <v>604258283.94000006</v>
      </c>
      <c r="F15" s="54">
        <v>599888531.86000001</v>
      </c>
      <c r="G15" s="54">
        <v>562576902.39999998</v>
      </c>
      <c r="H15" s="55">
        <f t="shared" si="0"/>
        <v>4369752.0800000429</v>
      </c>
    </row>
    <row r="16" spans="1:8" x14ac:dyDescent="0.25">
      <c r="A16" s="24"/>
      <c r="B16" s="67" t="s">
        <v>62</v>
      </c>
      <c r="C16" s="54">
        <v>10275372436</v>
      </c>
      <c r="D16" s="54">
        <v>3345564303.1300001</v>
      </c>
      <c r="E16" s="54">
        <f t="shared" si="1"/>
        <v>13620936739.130001</v>
      </c>
      <c r="F16" s="54">
        <v>13598600275.389999</v>
      </c>
      <c r="G16" s="54">
        <v>13286738285.59</v>
      </c>
      <c r="H16" s="55">
        <f t="shared" si="0"/>
        <v>22336463.740001678</v>
      </c>
    </row>
    <row r="17" spans="1:8" x14ac:dyDescent="0.25">
      <c r="A17" s="24"/>
      <c r="B17" s="67" t="s">
        <v>63</v>
      </c>
      <c r="C17" s="54">
        <v>108928816</v>
      </c>
      <c r="D17" s="54">
        <v>-4755151.91</v>
      </c>
      <c r="E17" s="54">
        <f t="shared" si="1"/>
        <v>104173664.09</v>
      </c>
      <c r="F17" s="54">
        <v>101250803.77</v>
      </c>
      <c r="G17" s="54">
        <v>95838354.719999999</v>
      </c>
      <c r="H17" s="55">
        <f t="shared" si="0"/>
        <v>2922860.3200000077</v>
      </c>
    </row>
    <row r="18" spans="1:8" x14ac:dyDescent="0.25">
      <c r="A18" s="24"/>
      <c r="B18" s="67" t="s">
        <v>64</v>
      </c>
      <c r="C18" s="54">
        <v>249542478</v>
      </c>
      <c r="D18" s="54">
        <v>132325047.08</v>
      </c>
      <c r="E18" s="54">
        <f t="shared" si="1"/>
        <v>381867525.07999998</v>
      </c>
      <c r="F18" s="54">
        <v>379084291.70999998</v>
      </c>
      <c r="G18" s="54">
        <v>327070849.63</v>
      </c>
      <c r="H18" s="55">
        <f t="shared" si="0"/>
        <v>2783233.3700000048</v>
      </c>
    </row>
    <row r="19" spans="1:8" x14ac:dyDescent="0.25">
      <c r="A19" s="24"/>
      <c r="B19" s="67" t="s">
        <v>65</v>
      </c>
      <c r="C19" s="54">
        <v>14359366259</v>
      </c>
      <c r="D19" s="54">
        <f>2003216879.79-27213719.94</f>
        <v>1976003159.8499999</v>
      </c>
      <c r="E19" s="54">
        <f t="shared" si="1"/>
        <v>16335369418.85</v>
      </c>
      <c r="F19" s="54">
        <v>16240481036.08</v>
      </c>
      <c r="G19" s="54">
        <v>15523284412.379999</v>
      </c>
      <c r="H19" s="55">
        <f t="shared" si="0"/>
        <v>94888382.770000458</v>
      </c>
    </row>
    <row r="20" spans="1:8" x14ac:dyDescent="0.25">
      <c r="A20" s="24"/>
      <c r="B20" s="67" t="s">
        <v>66</v>
      </c>
      <c r="C20" s="54">
        <v>4222042174</v>
      </c>
      <c r="D20" s="54">
        <v>896147155.22000003</v>
      </c>
      <c r="E20" s="54">
        <f t="shared" si="1"/>
        <v>5118189329.2200003</v>
      </c>
      <c r="F20" s="54">
        <v>5099887697.46</v>
      </c>
      <c r="G20" s="54">
        <v>4612073015.9399996</v>
      </c>
      <c r="H20" s="55">
        <f t="shared" si="0"/>
        <v>18301631.760000229</v>
      </c>
    </row>
    <row r="21" spans="1:8" ht="30" x14ac:dyDescent="0.25">
      <c r="A21" s="24"/>
      <c r="B21" s="67" t="s">
        <v>169</v>
      </c>
      <c r="C21" s="54">
        <v>3310327498</v>
      </c>
      <c r="D21" s="54">
        <v>1062490582.8</v>
      </c>
      <c r="E21" s="54">
        <f t="shared" si="1"/>
        <v>4372818080.8000002</v>
      </c>
      <c r="F21" s="54">
        <v>4104523072.8099999</v>
      </c>
      <c r="G21" s="54">
        <v>3364050014.9099998</v>
      </c>
      <c r="H21" s="55">
        <f t="shared" si="0"/>
        <v>268295007.99000025</v>
      </c>
    </row>
    <row r="22" spans="1:8" x14ac:dyDescent="0.25">
      <c r="A22" s="24"/>
      <c r="B22" s="67" t="s">
        <v>67</v>
      </c>
      <c r="C22" s="54">
        <v>563225403</v>
      </c>
      <c r="D22" s="54">
        <v>99374626.109999999</v>
      </c>
      <c r="E22" s="54">
        <f t="shared" si="1"/>
        <v>662600029.11000001</v>
      </c>
      <c r="F22" s="54">
        <v>647868724.74000001</v>
      </c>
      <c r="G22" s="54">
        <v>593878637.26999998</v>
      </c>
      <c r="H22" s="55">
        <f t="shared" si="0"/>
        <v>14731304.370000005</v>
      </c>
    </row>
    <row r="23" spans="1:8" ht="30" x14ac:dyDescent="0.25">
      <c r="A23" s="24"/>
      <c r="B23" s="67" t="s">
        <v>68</v>
      </c>
      <c r="C23" s="54">
        <v>1001141021</v>
      </c>
      <c r="D23" s="54">
        <v>503674224.67000002</v>
      </c>
      <c r="E23" s="54">
        <f t="shared" si="1"/>
        <v>1504815245.6700001</v>
      </c>
      <c r="F23" s="54">
        <v>1501077180.8099999</v>
      </c>
      <c r="G23" s="54">
        <v>1480062561.02</v>
      </c>
      <c r="H23" s="55">
        <f t="shared" si="0"/>
        <v>3738064.8600001335</v>
      </c>
    </row>
    <row r="24" spans="1:8" ht="30" x14ac:dyDescent="0.25">
      <c r="A24" s="24"/>
      <c r="B24" s="68" t="s">
        <v>69</v>
      </c>
      <c r="C24" s="56">
        <v>813716620</v>
      </c>
      <c r="D24" s="56">
        <f>153203713.07+36880.05</f>
        <v>153240593.12</v>
      </c>
      <c r="E24" s="56">
        <f t="shared" si="1"/>
        <v>966957213.12</v>
      </c>
      <c r="F24" s="56">
        <v>966957213.12</v>
      </c>
      <c r="G24" s="56">
        <v>919126096.65999997</v>
      </c>
      <c r="H24" s="57">
        <f t="shared" si="0"/>
        <v>0</v>
      </c>
    </row>
    <row r="25" spans="1:8" x14ac:dyDescent="0.25">
      <c r="A25" s="24"/>
      <c r="B25" s="68" t="s">
        <v>170</v>
      </c>
      <c r="C25" s="56">
        <v>1939819376</v>
      </c>
      <c r="D25" s="56">
        <v>-146842496.22</v>
      </c>
      <c r="E25" s="56">
        <f t="shared" si="1"/>
        <v>1792976879.78</v>
      </c>
      <c r="F25" s="56">
        <v>1758425761.1800001</v>
      </c>
      <c r="G25" s="56">
        <v>1574954926.03</v>
      </c>
      <c r="H25" s="57">
        <f t="shared" si="0"/>
        <v>34551118.599999905</v>
      </c>
    </row>
    <row r="26" spans="1:8" ht="30" x14ac:dyDescent="0.25">
      <c r="A26" s="24"/>
      <c r="B26" s="68" t="s">
        <v>77</v>
      </c>
      <c r="C26" s="56">
        <v>30064099</v>
      </c>
      <c r="D26" s="56">
        <f>9390259.28+219349.02</f>
        <v>9609608.2999999989</v>
      </c>
      <c r="E26" s="56">
        <f t="shared" si="1"/>
        <v>39673707.299999997</v>
      </c>
      <c r="F26" s="56">
        <v>39673707.299999997</v>
      </c>
      <c r="G26" s="56">
        <v>36371842.280000001</v>
      </c>
      <c r="H26" s="57">
        <f t="shared" si="0"/>
        <v>0</v>
      </c>
    </row>
    <row r="27" spans="1:8" x14ac:dyDescent="0.25">
      <c r="A27" s="24"/>
      <c r="B27" s="67" t="s">
        <v>70</v>
      </c>
      <c r="C27" s="54">
        <v>140213742</v>
      </c>
      <c r="D27" s="54">
        <v>-18924963.199999999</v>
      </c>
      <c r="E27" s="54">
        <f t="shared" si="1"/>
        <v>121288778.8</v>
      </c>
      <c r="F27" s="54">
        <v>120928523.98999999</v>
      </c>
      <c r="G27" s="54">
        <v>114151674.20999999</v>
      </c>
      <c r="H27" s="55">
        <f t="shared" si="0"/>
        <v>360254.81000000238</v>
      </c>
    </row>
    <row r="28" spans="1:8" x14ac:dyDescent="0.25">
      <c r="A28" s="24"/>
      <c r="B28" s="67" t="s">
        <v>171</v>
      </c>
      <c r="C28" s="54">
        <v>56041223.270000003</v>
      </c>
      <c r="D28" s="54">
        <v>399998.73</v>
      </c>
      <c r="E28" s="54">
        <f t="shared" si="1"/>
        <v>56441222</v>
      </c>
      <c r="F28" s="54">
        <v>56441222</v>
      </c>
      <c r="G28" s="54">
        <v>56441222</v>
      </c>
      <c r="H28" s="55">
        <f t="shared" si="0"/>
        <v>0</v>
      </c>
    </row>
    <row r="29" spans="1:8" x14ac:dyDescent="0.25">
      <c r="A29" s="24"/>
      <c r="B29" s="67" t="s">
        <v>78</v>
      </c>
      <c r="C29" s="54">
        <v>38135964</v>
      </c>
      <c r="D29" s="54">
        <v>0</v>
      </c>
      <c r="E29" s="54">
        <f t="shared" si="1"/>
        <v>38135964</v>
      </c>
      <c r="F29" s="54">
        <v>38135964</v>
      </c>
      <c r="G29" s="54">
        <v>37780425.25</v>
      </c>
      <c r="H29" s="55">
        <f t="shared" si="0"/>
        <v>0</v>
      </c>
    </row>
    <row r="30" spans="1:8" ht="30" x14ac:dyDescent="0.25">
      <c r="A30" s="24"/>
      <c r="B30" s="67" t="s">
        <v>79</v>
      </c>
      <c r="C30" s="54">
        <v>19726295</v>
      </c>
      <c r="D30" s="54">
        <f>6900160.39-256229.07</f>
        <v>6643931.3199999994</v>
      </c>
      <c r="E30" s="54">
        <f t="shared" si="1"/>
        <v>26370226.32</v>
      </c>
      <c r="F30" s="54">
        <v>23179586.219999999</v>
      </c>
      <c r="G30" s="54">
        <v>21669129.870000001</v>
      </c>
      <c r="H30" s="55">
        <f t="shared" si="0"/>
        <v>3190640.1000000015</v>
      </c>
    </row>
    <row r="31" spans="1:8" x14ac:dyDescent="0.25">
      <c r="A31" s="24"/>
      <c r="B31" s="67" t="s">
        <v>71</v>
      </c>
      <c r="C31" s="54">
        <v>0</v>
      </c>
      <c r="D31" s="54">
        <v>3153761881.0700002</v>
      </c>
      <c r="E31" s="54">
        <f t="shared" si="1"/>
        <v>3153761881.0700002</v>
      </c>
      <c r="F31" s="54">
        <v>3133945638.6100001</v>
      </c>
      <c r="G31" s="54">
        <v>3133945638.6100001</v>
      </c>
      <c r="H31" s="55">
        <f t="shared" si="0"/>
        <v>19816242.460000038</v>
      </c>
    </row>
    <row r="32" spans="1:8" x14ac:dyDescent="0.25">
      <c r="A32" s="24"/>
      <c r="B32" s="67" t="s">
        <v>72</v>
      </c>
      <c r="C32" s="54">
        <v>3138084349</v>
      </c>
      <c r="D32" s="54">
        <v>-2735747501.1999998</v>
      </c>
      <c r="E32" s="54">
        <f t="shared" si="1"/>
        <v>402336847.80000019</v>
      </c>
      <c r="F32" s="54">
        <v>384263295.5</v>
      </c>
      <c r="G32" s="54">
        <v>345586522.50999999</v>
      </c>
      <c r="H32" s="55">
        <f t="shared" si="0"/>
        <v>18073552.300000191</v>
      </c>
    </row>
    <row r="33" spans="1:8" ht="30" x14ac:dyDescent="0.25">
      <c r="A33" s="24"/>
      <c r="B33" s="67" t="s">
        <v>172</v>
      </c>
      <c r="C33" s="54">
        <v>414850848.73000002</v>
      </c>
      <c r="D33" s="54">
        <v>-1.3</v>
      </c>
      <c r="E33" s="54">
        <f t="shared" si="1"/>
        <v>414850847.43000001</v>
      </c>
      <c r="F33" s="54">
        <v>414850847.43000001</v>
      </c>
      <c r="G33" s="54">
        <v>377271801.67000002</v>
      </c>
      <c r="H33" s="55">
        <f t="shared" si="0"/>
        <v>0</v>
      </c>
    </row>
    <row r="34" spans="1:8" x14ac:dyDescent="0.25">
      <c r="A34" s="24"/>
      <c r="B34" s="67" t="s">
        <v>76</v>
      </c>
      <c r="C34" s="54">
        <v>828432179</v>
      </c>
      <c r="D34" s="54">
        <v>95797484.659999996</v>
      </c>
      <c r="E34" s="54">
        <f t="shared" si="1"/>
        <v>924229663.65999997</v>
      </c>
      <c r="F34" s="54">
        <v>924229663.65999997</v>
      </c>
      <c r="G34" s="54">
        <v>924229663.65999997</v>
      </c>
      <c r="H34" s="55">
        <f t="shared" si="0"/>
        <v>0</v>
      </c>
    </row>
    <row r="35" spans="1:8" x14ac:dyDescent="0.25">
      <c r="A35" s="24"/>
      <c r="B35" s="67" t="s">
        <v>80</v>
      </c>
      <c r="C35" s="54">
        <v>0</v>
      </c>
      <c r="D35" s="54">
        <v>10000000</v>
      </c>
      <c r="E35" s="54">
        <f t="shared" si="1"/>
        <v>10000000</v>
      </c>
      <c r="F35" s="54">
        <v>10000000</v>
      </c>
      <c r="G35" s="54">
        <v>4000000</v>
      </c>
      <c r="H35" s="55">
        <f t="shared" si="0"/>
        <v>0</v>
      </c>
    </row>
    <row r="36" spans="1:8" ht="30" x14ac:dyDescent="0.25">
      <c r="A36" s="24"/>
      <c r="B36" s="67" t="s">
        <v>73</v>
      </c>
      <c r="C36" s="54">
        <v>4761073102</v>
      </c>
      <c r="D36" s="54">
        <v>88863583.209999993</v>
      </c>
      <c r="E36" s="54">
        <f t="shared" si="1"/>
        <v>4849936685.21</v>
      </c>
      <c r="F36" s="54">
        <v>4849936685.21</v>
      </c>
      <c r="G36" s="54">
        <v>4843780085.21</v>
      </c>
      <c r="H36" s="55">
        <f t="shared" si="0"/>
        <v>0</v>
      </c>
    </row>
    <row r="37" spans="1:8" x14ac:dyDescent="0.25">
      <c r="A37" s="24"/>
      <c r="B37" s="58"/>
      <c r="C37" s="59"/>
      <c r="D37" s="60"/>
      <c r="E37" s="59"/>
      <c r="F37" s="59"/>
      <c r="G37" s="59"/>
      <c r="H37" s="60"/>
    </row>
    <row r="38" spans="1:8" x14ac:dyDescent="0.25">
      <c r="A38" s="24"/>
      <c r="B38" s="58"/>
      <c r="C38" s="59"/>
      <c r="D38" s="60"/>
      <c r="E38" s="59"/>
      <c r="F38" s="59"/>
      <c r="G38" s="59"/>
      <c r="H38" s="60"/>
    </row>
    <row r="39" spans="1:8" ht="15.75" thickBot="1" x14ac:dyDescent="0.3">
      <c r="A39" s="29"/>
      <c r="B39" s="61"/>
      <c r="C39" s="62"/>
      <c r="D39" s="63"/>
      <c r="E39" s="54"/>
      <c r="F39" s="64"/>
      <c r="G39" s="64"/>
      <c r="H39" s="55"/>
    </row>
    <row r="40" spans="1:8" ht="15.75" thickBot="1" x14ac:dyDescent="0.3">
      <c r="A40" s="42"/>
      <c r="B40" s="65" t="s">
        <v>161</v>
      </c>
      <c r="C40" s="66">
        <f t="shared" ref="C40:H40" si="2">SUM(C12:C39)</f>
        <v>48594060440</v>
      </c>
      <c r="D40" s="66">
        <f t="shared" si="2"/>
        <v>8906145272.6599998</v>
      </c>
      <c r="E40" s="66">
        <f t="shared" si="2"/>
        <v>57500205712.660019</v>
      </c>
      <c r="F40" s="66">
        <f t="shared" si="2"/>
        <v>56984839339.520004</v>
      </c>
      <c r="G40" s="66">
        <f t="shared" si="2"/>
        <v>53975406063.089996</v>
      </c>
      <c r="H40" s="66">
        <f t="shared" si="2"/>
        <v>515366373.14000297</v>
      </c>
    </row>
    <row r="41" spans="1:8" ht="15.75" thickBot="1" x14ac:dyDescent="0.3">
      <c r="A41" s="69"/>
      <c r="B41" s="70"/>
      <c r="C41" s="70"/>
      <c r="D41" s="70"/>
      <c r="E41" s="70"/>
      <c r="F41" s="70"/>
      <c r="G41" s="70"/>
      <c r="H41" s="71"/>
    </row>
  </sheetData>
  <mergeCells count="8">
    <mergeCell ref="A3:H3"/>
    <mergeCell ref="A4:H4"/>
    <mergeCell ref="A5:H5"/>
    <mergeCell ref="A6:H6"/>
    <mergeCell ref="A7:H7"/>
    <mergeCell ref="A8:B10"/>
    <mergeCell ref="C8:G8"/>
    <mergeCell ref="H8:H9"/>
  </mergeCells>
  <pageMargins left="0.7" right="0.7" top="0.75" bottom="0.75" header="0.3" footer="0.3"/>
  <pageSetup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" workbookViewId="0">
      <selection activeCell="L13" sqref="L13"/>
    </sheetView>
  </sheetViews>
  <sheetFormatPr baseColWidth="10" defaultRowHeight="15" x14ac:dyDescent="0.25"/>
  <cols>
    <col min="1" max="1" width="2.42578125" style="18" customWidth="1"/>
    <col min="2" max="2" width="33.140625" style="18" customWidth="1"/>
    <col min="3" max="3" width="19.140625" style="18" hidden="1" customWidth="1"/>
    <col min="4" max="4" width="15.140625" style="18" bestFit="1" customWidth="1"/>
    <col min="5" max="5" width="14.28515625" style="18" bestFit="1" customWidth="1"/>
    <col min="6" max="6" width="14.85546875" style="18" bestFit="1" customWidth="1"/>
    <col min="7" max="8" width="15.140625" style="18" bestFit="1" customWidth="1"/>
    <col min="9" max="9" width="12.7109375" style="18" bestFit="1" customWidth="1"/>
    <col min="10" max="16384" width="11.42578125" style="18"/>
  </cols>
  <sheetData>
    <row r="1" spans="1:9" s="17" customFormat="1" ht="12.75" hidden="1" x14ac:dyDescent="0.2">
      <c r="A1" s="15" t="s">
        <v>81</v>
      </c>
      <c r="B1" s="16"/>
      <c r="C1" s="15" t="s">
        <v>173</v>
      </c>
      <c r="E1" s="15" t="s">
        <v>83</v>
      </c>
      <c r="F1" s="17" t="str">
        <f>IF(AND(LEN(E1)&gt;0,LEN(E1)&lt;=2),MID(E1,1,2),MID(E1,1,FIND(".",E1)-1))</f>
        <v>1</v>
      </c>
      <c r="G1" s="17" t="str">
        <f>IF(LEN(E1)&gt;2,MID(E1,FIND(".",E1)+2,2),0)</f>
        <v>16</v>
      </c>
      <c r="H1" s="17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s="17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Diciembre</v>
      </c>
    </row>
    <row r="2" spans="1:9" ht="15.75" thickBot="1" x14ac:dyDescent="0.3"/>
    <row r="3" spans="1:9" x14ac:dyDescent="0.25">
      <c r="A3" s="131" t="s">
        <v>25</v>
      </c>
      <c r="B3" s="132"/>
      <c r="C3" s="132"/>
      <c r="D3" s="132"/>
      <c r="E3" s="132"/>
      <c r="F3" s="132"/>
      <c r="G3" s="132"/>
      <c r="H3" s="132"/>
      <c r="I3" s="133"/>
    </row>
    <row r="4" spans="1:9" x14ac:dyDescent="0.25">
      <c r="A4" s="134" t="s">
        <v>26</v>
      </c>
      <c r="B4" s="135"/>
      <c r="C4" s="135"/>
      <c r="D4" s="135"/>
      <c r="E4" s="135"/>
      <c r="F4" s="135"/>
      <c r="G4" s="135"/>
      <c r="H4" s="135"/>
      <c r="I4" s="136"/>
    </row>
    <row r="5" spans="1:9" x14ac:dyDescent="0.25">
      <c r="A5" s="134" t="s">
        <v>174</v>
      </c>
      <c r="B5" s="135"/>
      <c r="C5" s="135"/>
      <c r="D5" s="135"/>
      <c r="E5" s="135"/>
      <c r="F5" s="135"/>
      <c r="G5" s="135"/>
      <c r="H5" s="135"/>
      <c r="I5" s="136"/>
    </row>
    <row r="6" spans="1:9" ht="15.75" thickBot="1" x14ac:dyDescent="0.3">
      <c r="A6" s="137" t="s">
        <v>84</v>
      </c>
      <c r="B6" s="138"/>
      <c r="C6" s="138"/>
      <c r="D6" s="138"/>
      <c r="E6" s="138"/>
      <c r="F6" s="138"/>
      <c r="G6" s="138"/>
      <c r="H6" s="138"/>
      <c r="I6" s="139"/>
    </row>
    <row r="7" spans="1:9" ht="15.75" hidden="1" thickBot="1" x14ac:dyDescent="0.3">
      <c r="A7" s="140" t="str">
        <f>CONCATENATE("Elaborado el ",MID(C1,1,2), " de ",IF(MID(C1,4,2)="01","Enero",IF(MID(C1,4,2)="02","Febrero",IF(MID(C1,4,2)="03","Marzo",IF(MID(C1,4,2)="04","Abril",IF(MID(C1,4,2)="05","Mayo",IF(MID(C1,4,2)="06","Junio",IF(MID(C1,4,2)="07","Julio",IF(MID(C1,4,2)="08","Agosto",IF(MID(C1,4,2)="09","Septiembre",IF(MID(C1,4,2)="10","Octubre",IF(MID(C1,4,2)="11","Noviembre","Diciembre")))))))))))," del ",MID(C1,7,4))</f>
        <v>Elaborado el 14 de Abril del 2016</v>
      </c>
      <c r="B7" s="141"/>
      <c r="C7" s="141"/>
      <c r="D7" s="141"/>
      <c r="E7" s="141"/>
      <c r="F7" s="141"/>
      <c r="G7" s="141"/>
      <c r="H7" s="141"/>
      <c r="I7" s="142"/>
    </row>
    <row r="8" spans="1:9" ht="15.75" thickBot="1" x14ac:dyDescent="0.3">
      <c r="A8" s="143" t="s">
        <v>175</v>
      </c>
      <c r="B8" s="144"/>
      <c r="C8" s="147" t="s">
        <v>85</v>
      </c>
      <c r="D8" s="150" t="s">
        <v>86</v>
      </c>
      <c r="E8" s="151"/>
      <c r="F8" s="151"/>
      <c r="G8" s="151"/>
      <c r="H8" s="152"/>
      <c r="I8" s="127" t="s">
        <v>87</v>
      </c>
    </row>
    <row r="9" spans="1:9" ht="18.75" thickBot="1" x14ac:dyDescent="0.3">
      <c r="A9" s="137"/>
      <c r="B9" s="138"/>
      <c r="C9" s="148"/>
      <c r="D9" s="72" t="s">
        <v>29</v>
      </c>
      <c r="E9" s="73" t="s">
        <v>88</v>
      </c>
      <c r="F9" s="72" t="s">
        <v>30</v>
      </c>
      <c r="G9" s="72" t="s">
        <v>31</v>
      </c>
      <c r="H9" s="72" t="s">
        <v>32</v>
      </c>
      <c r="I9" s="128"/>
    </row>
    <row r="10" spans="1:9" ht="15.75" thickBot="1" x14ac:dyDescent="0.3">
      <c r="A10" s="145"/>
      <c r="B10" s="146"/>
      <c r="C10" s="149"/>
      <c r="D10" s="74">
        <v>1</v>
      </c>
      <c r="E10" s="75">
        <v>2</v>
      </c>
      <c r="F10" s="74" t="s">
        <v>89</v>
      </c>
      <c r="G10" s="74">
        <v>4</v>
      </c>
      <c r="H10" s="74">
        <v>5</v>
      </c>
      <c r="I10" s="76" t="s">
        <v>90</v>
      </c>
    </row>
    <row r="11" spans="1:9" x14ac:dyDescent="0.25">
      <c r="A11" s="77"/>
      <c r="B11" s="78"/>
      <c r="C11" s="79"/>
      <c r="D11" s="80"/>
      <c r="E11" s="81"/>
      <c r="F11" s="82"/>
      <c r="G11" s="82"/>
      <c r="H11" s="82"/>
      <c r="I11" s="83"/>
    </row>
    <row r="12" spans="1:9" x14ac:dyDescent="0.25">
      <c r="A12" s="84" t="s">
        <v>176</v>
      </c>
      <c r="B12" s="85"/>
      <c r="C12" s="86"/>
      <c r="D12" s="87">
        <f>SUM(D13:D18)</f>
        <v>10253403594.699999</v>
      </c>
      <c r="E12" s="87">
        <f>SUM(E13:E18)</f>
        <v>-2110452589.2800002</v>
      </c>
      <c r="F12" s="87">
        <f>+D12+E12</f>
        <v>8142951005.4199982</v>
      </c>
      <c r="G12" s="87">
        <f>SUM(G13:G18)</f>
        <v>8032756467.9499998</v>
      </c>
      <c r="H12" s="87">
        <f>SUM(H13:H18)</f>
        <v>7146319942.5299997</v>
      </c>
      <c r="I12" s="88">
        <f t="shared" ref="I12:I41" si="0">F12-G12</f>
        <v>110194537.46999836</v>
      </c>
    </row>
    <row r="13" spans="1:9" x14ac:dyDescent="0.25">
      <c r="A13" s="84"/>
      <c r="B13" s="99" t="s">
        <v>36</v>
      </c>
      <c r="C13" s="89">
        <v>11</v>
      </c>
      <c r="D13" s="90">
        <v>620977232.53999996</v>
      </c>
      <c r="E13" s="90">
        <v>824923785.21000004</v>
      </c>
      <c r="F13" s="90">
        <f t="shared" ref="F13:F41" si="1">+D13+E13</f>
        <v>1445901017.75</v>
      </c>
      <c r="G13" s="90">
        <v>1438006727.27</v>
      </c>
      <c r="H13" s="90">
        <v>1294717206.0799999</v>
      </c>
      <c r="I13" s="91">
        <f t="shared" si="0"/>
        <v>7894290.4800000191</v>
      </c>
    </row>
    <row r="14" spans="1:9" x14ac:dyDescent="0.25">
      <c r="A14" s="84"/>
      <c r="B14" s="99" t="s">
        <v>37</v>
      </c>
      <c r="C14" s="89">
        <v>12</v>
      </c>
      <c r="D14" s="90">
        <v>1805844292.6300001</v>
      </c>
      <c r="E14" s="90">
        <v>244390329.59</v>
      </c>
      <c r="F14" s="90">
        <f t="shared" si="1"/>
        <v>2050234622.22</v>
      </c>
      <c r="G14" s="90">
        <v>2040989114.97</v>
      </c>
      <c r="H14" s="90">
        <v>1838589051.6600001</v>
      </c>
      <c r="I14" s="91">
        <f t="shared" si="0"/>
        <v>9245507.25</v>
      </c>
    </row>
    <row r="15" spans="1:9" x14ac:dyDescent="0.25">
      <c r="A15" s="84"/>
      <c r="B15" s="99" t="s">
        <v>38</v>
      </c>
      <c r="C15" s="89">
        <v>13</v>
      </c>
      <c r="D15" s="90">
        <v>972402849.27999997</v>
      </c>
      <c r="E15" s="90">
        <v>265477472.41999999</v>
      </c>
      <c r="F15" s="90">
        <f t="shared" si="1"/>
        <v>1237880321.7</v>
      </c>
      <c r="G15" s="90">
        <v>1230856734.5599999</v>
      </c>
      <c r="H15" s="90">
        <v>1113227265.97</v>
      </c>
      <c r="I15" s="91">
        <f t="shared" si="0"/>
        <v>7023587.1400001049</v>
      </c>
    </row>
    <row r="16" spans="1:9" x14ac:dyDescent="0.25">
      <c r="A16" s="84"/>
      <c r="B16" s="99" t="s">
        <v>39</v>
      </c>
      <c r="C16" s="89">
        <v>15</v>
      </c>
      <c r="D16" s="90">
        <v>4480352928.3299999</v>
      </c>
      <c r="E16" s="90">
        <v>-2590760123.6100001</v>
      </c>
      <c r="F16" s="90">
        <f t="shared" si="1"/>
        <v>1889592804.7199998</v>
      </c>
      <c r="G16" s="90">
        <v>1836477499.8399999</v>
      </c>
      <c r="H16" s="90">
        <v>1514849346.27</v>
      </c>
      <c r="I16" s="91">
        <f t="shared" si="0"/>
        <v>53115304.879999876</v>
      </c>
    </row>
    <row r="17" spans="1:9" ht="19.5" x14ac:dyDescent="0.25">
      <c r="A17" s="84"/>
      <c r="B17" s="99" t="s">
        <v>40</v>
      </c>
      <c r="C17" s="89">
        <v>17</v>
      </c>
      <c r="D17" s="90">
        <v>1271088243.8399999</v>
      </c>
      <c r="E17" s="90">
        <v>-152433901.19</v>
      </c>
      <c r="F17" s="90">
        <f t="shared" si="1"/>
        <v>1118654342.6499999</v>
      </c>
      <c r="G17" s="90">
        <v>1090977145.76</v>
      </c>
      <c r="H17" s="90">
        <v>1022841380.67</v>
      </c>
      <c r="I17" s="91">
        <f t="shared" si="0"/>
        <v>27677196.889999866</v>
      </c>
    </row>
    <row r="18" spans="1:9" x14ac:dyDescent="0.25">
      <c r="A18" s="84"/>
      <c r="B18" s="99" t="s">
        <v>41</v>
      </c>
      <c r="C18" s="89">
        <v>18</v>
      </c>
      <c r="D18" s="90">
        <v>1102738048.0799999</v>
      </c>
      <c r="E18" s="90">
        <v>-702050151.70000005</v>
      </c>
      <c r="F18" s="90">
        <f t="shared" si="1"/>
        <v>400687896.37999988</v>
      </c>
      <c r="G18" s="90">
        <v>395449245.55000001</v>
      </c>
      <c r="H18" s="90">
        <v>362095691.88</v>
      </c>
      <c r="I18" s="91">
        <f t="shared" si="0"/>
        <v>5238650.8299998641</v>
      </c>
    </row>
    <row r="19" spans="1:9" x14ac:dyDescent="0.25">
      <c r="A19" s="84" t="s">
        <v>177</v>
      </c>
      <c r="B19" s="99"/>
      <c r="C19" s="89"/>
      <c r="D19" s="87">
        <f>SUM(D20:D26)</f>
        <v>27700859112.119999</v>
      </c>
      <c r="E19" s="87">
        <f>SUM(E20:E26)</f>
        <v>4143581904.2999997</v>
      </c>
      <c r="F19" s="87">
        <f t="shared" si="1"/>
        <v>31844441016.419998</v>
      </c>
      <c r="G19" s="87">
        <f>SUM(G20:G26)</f>
        <v>31509600751.510002</v>
      </c>
      <c r="H19" s="87">
        <f>SUM(H20:H26)</f>
        <v>29505540723.160004</v>
      </c>
      <c r="I19" s="88">
        <f t="shared" si="0"/>
        <v>334840264.90999603</v>
      </c>
    </row>
    <row r="20" spans="1:9" x14ac:dyDescent="0.25">
      <c r="A20" s="84"/>
      <c r="B20" s="99" t="s">
        <v>42</v>
      </c>
      <c r="C20" s="89">
        <v>21</v>
      </c>
      <c r="D20" s="90">
        <v>83927472</v>
      </c>
      <c r="E20" s="90">
        <v>161341722.25999999</v>
      </c>
      <c r="F20" s="90">
        <f t="shared" si="1"/>
        <v>245269194.25999999</v>
      </c>
      <c r="G20" s="90">
        <v>229857674.40000001</v>
      </c>
      <c r="H20" s="90">
        <v>215001941.83000001</v>
      </c>
      <c r="I20" s="91">
        <f t="shared" si="0"/>
        <v>15411519.859999985</v>
      </c>
    </row>
    <row r="21" spans="1:9" x14ac:dyDescent="0.25">
      <c r="A21" s="84"/>
      <c r="B21" s="99" t="s">
        <v>43</v>
      </c>
      <c r="C21" s="89">
        <v>22</v>
      </c>
      <c r="D21" s="90">
        <v>2348163260.5599999</v>
      </c>
      <c r="E21" s="90">
        <v>-662124295.08000004</v>
      </c>
      <c r="F21" s="90">
        <f t="shared" si="1"/>
        <v>1686038965.48</v>
      </c>
      <c r="G21" s="90">
        <v>1538404941.03</v>
      </c>
      <c r="H21" s="90">
        <v>1391805150.4200001</v>
      </c>
      <c r="I21" s="91">
        <f t="shared" si="0"/>
        <v>147634024.45000005</v>
      </c>
    </row>
    <row r="22" spans="1:9" x14ac:dyDescent="0.25">
      <c r="A22" s="84"/>
      <c r="B22" s="99" t="s">
        <v>44</v>
      </c>
      <c r="C22" s="89">
        <v>23</v>
      </c>
      <c r="D22" s="90">
        <v>3728176524</v>
      </c>
      <c r="E22" s="90">
        <v>879666667.33000004</v>
      </c>
      <c r="F22" s="90">
        <f t="shared" si="1"/>
        <v>4607843191.3299999</v>
      </c>
      <c r="G22" s="90">
        <v>4588025307.9499998</v>
      </c>
      <c r="H22" s="90">
        <v>4139902317.8200002</v>
      </c>
      <c r="I22" s="91">
        <f t="shared" si="0"/>
        <v>19817883.380000114</v>
      </c>
    </row>
    <row r="23" spans="1:9" ht="19.5" x14ac:dyDescent="0.25">
      <c r="A23" s="84"/>
      <c r="B23" s="99" t="s">
        <v>45</v>
      </c>
      <c r="C23" s="89">
        <v>24</v>
      </c>
      <c r="D23" s="90">
        <v>442669274</v>
      </c>
      <c r="E23" s="90">
        <f>603909904.84-27213719.94</f>
        <v>576696184.89999998</v>
      </c>
      <c r="F23" s="90">
        <f t="shared" si="1"/>
        <v>1019365458.9</v>
      </c>
      <c r="G23" s="90">
        <v>970533784.02999997</v>
      </c>
      <c r="H23" s="90">
        <v>913149531.28999996</v>
      </c>
      <c r="I23" s="91">
        <f t="shared" si="0"/>
        <v>48831674.870000005</v>
      </c>
    </row>
    <row r="24" spans="1:9" x14ac:dyDescent="0.25">
      <c r="A24" s="84"/>
      <c r="B24" s="99" t="s">
        <v>46</v>
      </c>
      <c r="C24" s="89">
        <v>25</v>
      </c>
      <c r="D24" s="90">
        <v>15535268293.559999</v>
      </c>
      <c r="E24" s="90">
        <v>3146330647.3699999</v>
      </c>
      <c r="F24" s="90">
        <f t="shared" si="1"/>
        <v>18681598940.93</v>
      </c>
      <c r="G24" s="90">
        <v>18581060291.18</v>
      </c>
      <c r="H24" s="90">
        <v>17341342132.48</v>
      </c>
      <c r="I24" s="91">
        <f t="shared" si="0"/>
        <v>100538649.75</v>
      </c>
    </row>
    <row r="25" spans="1:9" x14ac:dyDescent="0.25">
      <c r="A25" s="84"/>
      <c r="B25" s="99" t="s">
        <v>47</v>
      </c>
      <c r="C25" s="89">
        <v>26</v>
      </c>
      <c r="D25" s="90">
        <v>5332300245</v>
      </c>
      <c r="E25" s="90">
        <v>116798618.89</v>
      </c>
      <c r="F25" s="90">
        <f t="shared" si="1"/>
        <v>5449098863.8900003</v>
      </c>
      <c r="G25" s="90">
        <v>5446517486.1700001</v>
      </c>
      <c r="H25" s="90">
        <v>5377462880.6000004</v>
      </c>
      <c r="I25" s="91">
        <f t="shared" si="0"/>
        <v>2581377.720000267</v>
      </c>
    </row>
    <row r="26" spans="1:9" x14ac:dyDescent="0.25">
      <c r="A26" s="84"/>
      <c r="B26" s="99" t="s">
        <v>48</v>
      </c>
      <c r="C26" s="89">
        <v>27</v>
      </c>
      <c r="D26" s="90">
        <v>230354043</v>
      </c>
      <c r="E26" s="90">
        <v>-75127641.370000005</v>
      </c>
      <c r="F26" s="90">
        <f t="shared" si="1"/>
        <v>155226401.63</v>
      </c>
      <c r="G26" s="90">
        <v>155201266.75</v>
      </c>
      <c r="H26" s="90">
        <v>126876768.72</v>
      </c>
      <c r="I26" s="91">
        <f t="shared" si="0"/>
        <v>25134.879999995232</v>
      </c>
    </row>
    <row r="27" spans="1:9" x14ac:dyDescent="0.25">
      <c r="A27" s="84" t="s">
        <v>178</v>
      </c>
      <c r="B27" s="99"/>
      <c r="C27" s="89"/>
      <c r="D27" s="87">
        <f>SUM(D28:D36)</f>
        <v>1853222045.8400002</v>
      </c>
      <c r="E27" s="87">
        <f>SUM(E28:E36)</f>
        <v>607271965.83999991</v>
      </c>
      <c r="F27" s="87">
        <f t="shared" si="1"/>
        <v>2460494011.6800003</v>
      </c>
      <c r="G27" s="87">
        <f>SUM(G28:G36)</f>
        <v>2416418516.4899998</v>
      </c>
      <c r="H27" s="87">
        <f>SUM(H28:H36)</f>
        <v>2298080097.1100001</v>
      </c>
      <c r="I27" s="88">
        <f t="shared" si="0"/>
        <v>44075495.190000534</v>
      </c>
    </row>
    <row r="28" spans="1:9" ht="27" customHeight="1" x14ac:dyDescent="0.25">
      <c r="A28" s="84"/>
      <c r="B28" s="99" t="s">
        <v>49</v>
      </c>
      <c r="C28" s="89">
        <v>31</v>
      </c>
      <c r="D28" s="90">
        <v>425693640.77999997</v>
      </c>
      <c r="E28" s="90">
        <v>-55034477.75</v>
      </c>
      <c r="F28" s="90">
        <f t="shared" si="1"/>
        <v>370659163.02999997</v>
      </c>
      <c r="G28" s="90">
        <v>362627670.02999997</v>
      </c>
      <c r="H28" s="90">
        <v>307264478.57999998</v>
      </c>
      <c r="I28" s="91">
        <f t="shared" si="0"/>
        <v>8031493</v>
      </c>
    </row>
    <row r="29" spans="1:9" x14ac:dyDescent="0.25">
      <c r="A29" s="84"/>
      <c r="B29" s="99" t="s">
        <v>50</v>
      </c>
      <c r="C29" s="89">
        <v>32</v>
      </c>
      <c r="D29" s="90">
        <v>204774032</v>
      </c>
      <c r="E29" s="90">
        <v>433302732.56</v>
      </c>
      <c r="F29" s="90">
        <f t="shared" si="1"/>
        <v>638076764.55999994</v>
      </c>
      <c r="G29" s="90">
        <v>636646553.67999995</v>
      </c>
      <c r="H29" s="90">
        <v>632846449.79999995</v>
      </c>
      <c r="I29" s="91">
        <f t="shared" si="0"/>
        <v>1430210.8799999952</v>
      </c>
    </row>
    <row r="30" spans="1:9" x14ac:dyDescent="0.25">
      <c r="A30" s="84"/>
      <c r="B30" s="99" t="s">
        <v>51</v>
      </c>
      <c r="C30" s="89">
        <v>33</v>
      </c>
      <c r="D30" s="90">
        <v>4119730</v>
      </c>
      <c r="E30" s="90">
        <f>705830.81-70146.69</f>
        <v>635684.12000000011</v>
      </c>
      <c r="F30" s="90">
        <f t="shared" si="1"/>
        <v>4755414.12</v>
      </c>
      <c r="G30" s="90">
        <v>4197138.13</v>
      </c>
      <c r="H30" s="90">
        <v>3997145.64</v>
      </c>
      <c r="I30" s="91">
        <f t="shared" si="0"/>
        <v>558275.99000000022</v>
      </c>
    </row>
    <row r="31" spans="1:9" x14ac:dyDescent="0.25">
      <c r="A31" s="84"/>
      <c r="B31" s="99" t="s">
        <v>52</v>
      </c>
      <c r="C31" s="89">
        <v>34</v>
      </c>
      <c r="D31" s="90">
        <v>8200373.8099999996</v>
      </c>
      <c r="E31" s="90">
        <f>-899801.09+70146.69</f>
        <v>-829654.39999999991</v>
      </c>
      <c r="F31" s="90">
        <f t="shared" si="1"/>
        <v>7370719.4100000001</v>
      </c>
      <c r="G31" s="90">
        <v>7370719.4100000001</v>
      </c>
      <c r="H31" s="90">
        <v>7248583.8200000003</v>
      </c>
      <c r="I31" s="91">
        <f t="shared" si="0"/>
        <v>0</v>
      </c>
    </row>
    <row r="32" spans="1:9" x14ac:dyDescent="0.25">
      <c r="A32" s="84"/>
      <c r="B32" s="99" t="s">
        <v>53</v>
      </c>
      <c r="C32" s="89">
        <v>35</v>
      </c>
      <c r="D32" s="90">
        <v>508214886.44</v>
      </c>
      <c r="E32" s="90">
        <v>62199727.189999998</v>
      </c>
      <c r="F32" s="90">
        <f t="shared" si="1"/>
        <v>570414613.63</v>
      </c>
      <c r="G32" s="90">
        <v>551680293.47000003</v>
      </c>
      <c r="H32" s="90">
        <v>521247111.25</v>
      </c>
      <c r="I32" s="91">
        <f t="shared" si="0"/>
        <v>18734320.159999967</v>
      </c>
    </row>
    <row r="33" spans="1:9" x14ac:dyDescent="0.25">
      <c r="A33" s="84"/>
      <c r="B33" s="99" t="s">
        <v>54</v>
      </c>
      <c r="C33" s="89">
        <v>36</v>
      </c>
      <c r="D33" s="90">
        <v>5871903</v>
      </c>
      <c r="E33" s="90">
        <v>620951.75</v>
      </c>
      <c r="F33" s="90">
        <f t="shared" si="1"/>
        <v>6492854.75</v>
      </c>
      <c r="G33" s="90">
        <v>6033734.71</v>
      </c>
      <c r="H33" s="90">
        <v>5522999.6600000001</v>
      </c>
      <c r="I33" s="91">
        <f t="shared" si="0"/>
        <v>459120.04000000004</v>
      </c>
    </row>
    <row r="34" spans="1:9" x14ac:dyDescent="0.25">
      <c r="A34" s="84"/>
      <c r="B34" s="99" t="s">
        <v>55</v>
      </c>
      <c r="C34" s="89">
        <v>37</v>
      </c>
      <c r="D34" s="90">
        <v>84238285</v>
      </c>
      <c r="E34" s="90">
        <v>264794510.91999999</v>
      </c>
      <c r="F34" s="90">
        <f t="shared" si="1"/>
        <v>349032795.91999996</v>
      </c>
      <c r="G34" s="90">
        <v>341305221.95999998</v>
      </c>
      <c r="H34" s="90">
        <v>331433836.72000003</v>
      </c>
      <c r="I34" s="91">
        <f t="shared" si="0"/>
        <v>7727573.9599999785</v>
      </c>
    </row>
    <row r="35" spans="1:9" x14ac:dyDescent="0.25">
      <c r="A35" s="84"/>
      <c r="B35" s="99" t="s">
        <v>56</v>
      </c>
      <c r="C35" s="89">
        <v>38</v>
      </c>
      <c r="D35" s="90">
        <v>34971105.229999997</v>
      </c>
      <c r="E35" s="90">
        <v>-2686383.82</v>
      </c>
      <c r="F35" s="90">
        <f t="shared" si="1"/>
        <v>32284721.409999996</v>
      </c>
      <c r="G35" s="90">
        <v>29834189.190000001</v>
      </c>
      <c r="H35" s="90">
        <v>27852356.539999999</v>
      </c>
      <c r="I35" s="91">
        <f t="shared" si="0"/>
        <v>2450532.2199999951</v>
      </c>
    </row>
    <row r="36" spans="1:9" ht="23.25" customHeight="1" x14ac:dyDescent="0.25">
      <c r="A36" s="84"/>
      <c r="B36" s="99" t="s">
        <v>57</v>
      </c>
      <c r="C36" s="89">
        <v>39</v>
      </c>
      <c r="D36" s="90">
        <v>577138089.58000004</v>
      </c>
      <c r="E36" s="90">
        <v>-95731124.730000004</v>
      </c>
      <c r="F36" s="90">
        <f t="shared" si="1"/>
        <v>481406964.85000002</v>
      </c>
      <c r="G36" s="90">
        <v>476722995.91000003</v>
      </c>
      <c r="H36" s="90">
        <v>460667135.10000002</v>
      </c>
      <c r="I36" s="91">
        <f t="shared" si="0"/>
        <v>4683968.9399999976</v>
      </c>
    </row>
    <row r="37" spans="1:9" ht="25.5" customHeight="1" x14ac:dyDescent="0.25">
      <c r="A37" s="129" t="s">
        <v>179</v>
      </c>
      <c r="B37" s="130"/>
      <c r="C37" s="86"/>
      <c r="D37" s="87">
        <f>SUM(D38:D40)</f>
        <v>8786575687.3400002</v>
      </c>
      <c r="E37" s="87">
        <f t="shared" ref="E37:H37" si="2">SUM(E38:E40)</f>
        <v>6265743991.7999992</v>
      </c>
      <c r="F37" s="87">
        <f t="shared" si="1"/>
        <v>15052319679.139999</v>
      </c>
      <c r="G37" s="87">
        <f t="shared" si="2"/>
        <v>15026063603.57</v>
      </c>
      <c r="H37" s="87">
        <f t="shared" si="2"/>
        <v>15025465300.289999</v>
      </c>
      <c r="I37" s="87">
        <f t="shared" si="0"/>
        <v>26256075.569999695</v>
      </c>
    </row>
    <row r="38" spans="1:9" ht="18" x14ac:dyDescent="0.25">
      <c r="A38" s="84"/>
      <c r="B38" s="92" t="s">
        <v>180</v>
      </c>
      <c r="C38" s="86"/>
      <c r="D38" s="90">
        <v>2370730009.3400002</v>
      </c>
      <c r="E38" s="91">
        <v>3028919684.4200001</v>
      </c>
      <c r="F38" s="90">
        <f t="shared" si="1"/>
        <v>5399649693.7600002</v>
      </c>
      <c r="G38" s="90">
        <v>5399649693.7600002</v>
      </c>
      <c r="H38" s="90">
        <v>5399451390.4799995</v>
      </c>
      <c r="I38" s="91">
        <f t="shared" si="0"/>
        <v>0</v>
      </c>
    </row>
    <row r="39" spans="1:9" ht="27" x14ac:dyDescent="0.25">
      <c r="A39" s="93"/>
      <c r="B39" s="94" t="s">
        <v>181</v>
      </c>
      <c r="C39" s="89"/>
      <c r="D39" s="90">
        <v>5515845678</v>
      </c>
      <c r="E39" s="91">
        <v>3057645723.4000001</v>
      </c>
      <c r="F39" s="90">
        <f t="shared" si="1"/>
        <v>8573491401.3999996</v>
      </c>
      <c r="G39" s="90">
        <v>8558666851.25</v>
      </c>
      <c r="H39" s="90">
        <v>8558666851.25</v>
      </c>
      <c r="I39" s="91">
        <f t="shared" si="0"/>
        <v>14824550.149999619</v>
      </c>
    </row>
    <row r="40" spans="1:9" ht="18.75" thickBot="1" x14ac:dyDescent="0.3">
      <c r="A40" s="93"/>
      <c r="B40" s="94" t="s">
        <v>58</v>
      </c>
      <c r="C40" s="89"/>
      <c r="D40" s="95">
        <v>900000000</v>
      </c>
      <c r="E40" s="91">
        <v>179178583.97999999</v>
      </c>
      <c r="F40" s="90">
        <f t="shared" si="1"/>
        <v>1079178583.98</v>
      </c>
      <c r="G40" s="90">
        <v>1067747058.5599999</v>
      </c>
      <c r="H40" s="90">
        <v>1067347058.5599999</v>
      </c>
      <c r="I40" s="91">
        <f t="shared" si="0"/>
        <v>11431525.420000076</v>
      </c>
    </row>
    <row r="41" spans="1:9" ht="15.75" thickBot="1" x14ac:dyDescent="0.3">
      <c r="A41" s="96"/>
      <c r="B41" s="75" t="s">
        <v>161</v>
      </c>
      <c r="C41" s="97"/>
      <c r="D41" s="98">
        <f>SUM(D12,D19,D27,D37)</f>
        <v>48594060440</v>
      </c>
      <c r="E41" s="98">
        <f t="shared" ref="E41:H41" si="3">SUM(E12,E19,E27,E37)</f>
        <v>8906145272.6599998</v>
      </c>
      <c r="F41" s="98">
        <f t="shared" si="1"/>
        <v>57500205712.660004</v>
      </c>
      <c r="G41" s="98">
        <f t="shared" si="3"/>
        <v>56984839339.519997</v>
      </c>
      <c r="H41" s="98">
        <f t="shared" si="3"/>
        <v>53975406063.090004</v>
      </c>
      <c r="I41" s="98">
        <f t="shared" si="0"/>
        <v>515366373.14000702</v>
      </c>
    </row>
  </sheetData>
  <mergeCells count="10">
    <mergeCell ref="I8:I9"/>
    <mergeCell ref="A37:B37"/>
    <mergeCell ref="A3:I3"/>
    <mergeCell ref="A4:I4"/>
    <mergeCell ref="A5:I5"/>
    <mergeCell ref="A6:I6"/>
    <mergeCell ref="A7:I7"/>
    <mergeCell ref="A8:B10"/>
    <mergeCell ref="C8:C10"/>
    <mergeCell ref="D8:H8"/>
  </mergeCells>
  <pageMargins left="0.7" right="0.7" top="0.75" bottom="0.75" header="0.3" footer="0.3"/>
  <pageSetup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80" zoomScaleNormal="80" workbookViewId="0">
      <selection activeCell="F1" sqref="F1"/>
    </sheetView>
  </sheetViews>
  <sheetFormatPr baseColWidth="10" defaultRowHeight="15" x14ac:dyDescent="0.25"/>
  <cols>
    <col min="1" max="1" width="17.140625" bestFit="1" customWidth="1"/>
    <col min="2" max="2" width="12.28515625" bestFit="1" customWidth="1"/>
    <col min="3" max="3" width="18.42578125" bestFit="1" customWidth="1"/>
    <col min="4" max="4" width="27.7109375" bestFit="1" customWidth="1"/>
    <col min="5" max="5" width="20" bestFit="1" customWidth="1"/>
    <col min="6" max="7" width="20.5703125" bestFit="1" customWidth="1"/>
    <col min="8" max="8" width="17" bestFit="1" customWidth="1"/>
    <col min="9" max="10" width="20.85546875" bestFit="1" customWidth="1"/>
  </cols>
  <sheetData>
    <row r="1" spans="1:9" ht="38.25" x14ac:dyDescent="0.25">
      <c r="A1" s="9" t="s">
        <v>0</v>
      </c>
      <c r="B1" s="9" t="s">
        <v>17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</row>
    <row r="2" spans="1:9" x14ac:dyDescent="0.25">
      <c r="A2" s="1" t="s">
        <v>1</v>
      </c>
      <c r="B2" s="1" t="s">
        <v>2</v>
      </c>
      <c r="C2" s="2" t="e">
        <f ca="1">[1]!BExGetData("DP_1","00O2TNJGODT0K3UQEBMPMNVCS","0","01")</f>
        <v>#NAME?</v>
      </c>
      <c r="D2" s="2" t="e">
        <f ca="1">[1]!BExGetData("DP_1","00O2TNJGODT0K3UQEBMPMOKN0","0","01")</f>
        <v>#NAME?</v>
      </c>
      <c r="E2" s="2" t="e">
        <f ca="1">[1]!BExGetData("DP_1","00O2TNJGODT0K3UQEBMPMOQYK","0","01")</f>
        <v>#NAME?</v>
      </c>
      <c r="F2" s="2" t="e">
        <f ca="1">[1]!BExGetData("DP_1","00O2TNJGODT0K3UQEBMPMP3LO","0","01")</f>
        <v>#NAME?</v>
      </c>
      <c r="G2" s="2" t="e">
        <f ca="1">[1]!BExGetData("DP_1","00O2TNJGODT0K3UQEBMPMP9X8","0","01")</f>
        <v>#NAME?</v>
      </c>
      <c r="H2" s="4" t="e">
        <f ca="1">[1]!BExGetData("DP_1","00O2TNJGODT0K3UQEBMPMPMKC","0","01")</f>
        <v>#NAME?</v>
      </c>
      <c r="I2" s="2" t="e">
        <f ca="1">[1]!BExGetData("DP_1","00O2TNJGODT0K3UQEBMPMPSVW","0","01")</f>
        <v>#NAME?</v>
      </c>
    </row>
    <row r="3" spans="1:9" x14ac:dyDescent="0.25">
      <c r="A3" s="1" t="s">
        <v>16</v>
      </c>
      <c r="B3" s="5" t="s">
        <v>18</v>
      </c>
      <c r="C3" s="6" t="e">
        <f ca="1">[1]!BExGetData("DP_1","00O2TNJGODT0K3UQEBMPMNVCS","0","SUMME")</f>
        <v>#NAME?</v>
      </c>
      <c r="D3" s="6" t="e">
        <f ca="1">[1]!BExGetData("DP_1","00O2TNJGODT0K3UQEBMPMOKN0","0","SUMME")</f>
        <v>#NAME?</v>
      </c>
      <c r="E3" s="6" t="e">
        <f ca="1">[1]!BExGetData("DP_1","00O2TNJGODT0K3UQEBMPMOQYK","0","SUMME")</f>
        <v>#NAME?</v>
      </c>
      <c r="F3" s="6" t="e">
        <f ca="1">[1]!BExGetData("DP_1","00O2TNJGODT0K3UQEBMPMP3LO","0","SUMME")</f>
        <v>#NAME?</v>
      </c>
      <c r="G3" s="6" t="e">
        <f ca="1">[1]!BExGetData("DP_1","00O2TNJGODT0K3UQEBMPMP9X8","0","SUMME")</f>
        <v>#NAME?</v>
      </c>
      <c r="H3" s="8" t="e">
        <f ca="1">[1]!BExGetData("DP_1","00O2TNJGODT0K3UQEBMPMPMKC","0","SUMME")</f>
        <v>#NAME?</v>
      </c>
      <c r="I3" s="6" t="e">
        <f ca="1">[1]!BExGetData("DP_1","00O2TNJGODT0K3UQEBMPMPSVW","0","SUMME")</f>
        <v>#NAME?</v>
      </c>
    </row>
    <row r="4" spans="1:9" x14ac:dyDescent="0.25">
      <c r="A4" s="1" t="s">
        <v>2</v>
      </c>
      <c r="B4" s="1" t="s">
        <v>2</v>
      </c>
      <c r="C4" s="2" t="e">
        <f ca="1">[1]!BExGetData("DP_1","00O2TNJGODT0K3UQEBMPMNVCS","1","11")</f>
        <v>#NAME?</v>
      </c>
      <c r="D4" s="2" t="e">
        <f ca="1">[1]!BExGetData("DP_1","00O2TNJGODT0K3UQEBMPMOKN0","1","11")</f>
        <v>#NAME?</v>
      </c>
      <c r="E4" s="2" t="e">
        <f ca="1">[1]!BExGetData("DP_1","00O2TNJGODT0K3UQEBMPMOQYK","1","11")</f>
        <v>#NAME?</v>
      </c>
      <c r="F4" s="2" t="e">
        <f ca="1">[1]!BExGetData("DP_1","00O2TNJGODT0K3UQEBMPMP3LO","1","11")</f>
        <v>#NAME?</v>
      </c>
      <c r="G4" s="2" t="e">
        <f ca="1">[1]!BExGetData("DP_1","00O2TNJGODT0K3UQEBMPMP9X8","1","11")</f>
        <v>#NAME?</v>
      </c>
      <c r="H4" s="4" t="e">
        <f ca="1">[1]!BExGetData("DP_1","00O2TNJGODT0K3UQEBMPMPMKC","1","11")</f>
        <v>#NAME?</v>
      </c>
      <c r="I4" s="2" t="e">
        <f ca="1">[1]!BExGetData("DP_1","00O2TNJGODT0K3UQEBMPMPSVW","1","11")</f>
        <v>#NAME?</v>
      </c>
    </row>
    <row r="5" spans="1:9" x14ac:dyDescent="0.25">
      <c r="A5" s="1" t="s">
        <v>16</v>
      </c>
      <c r="B5" s="1" t="s">
        <v>19</v>
      </c>
      <c r="C5" s="2" t="e">
        <f ca="1">[1]!BExGetData("DP_1","00O2TNJGODT0K3UQEBMPMNVCS","1","13")</f>
        <v>#NAME?</v>
      </c>
      <c r="D5" s="2" t="e">
        <f ca="1">[1]!BExGetData("DP_1","00O2TNJGODT0K3UQEBMPMOKN0","1","13")</f>
        <v>#NAME?</v>
      </c>
      <c r="E5" s="2" t="e">
        <f ca="1">[1]!BExGetData("DP_1","00O2TNJGODT0K3UQEBMPMOQYK","1","13")</f>
        <v>#NAME?</v>
      </c>
      <c r="F5" s="2" t="e">
        <f ca="1">[1]!BExGetData("DP_1","00O2TNJGODT0K3UQEBMPMP3LO","1","13")</f>
        <v>#NAME?</v>
      </c>
      <c r="G5" s="2" t="e">
        <f ca="1">[1]!BExGetData("DP_1","00O2TNJGODT0K3UQEBMPMP9X8","1","13")</f>
        <v>#NAME?</v>
      </c>
      <c r="H5" s="4" t="e">
        <f ca="1">[1]!BExGetData("DP_1","00O2TNJGODT0K3UQEBMPMPMKC","1","13")</f>
        <v>#NAME?</v>
      </c>
      <c r="I5" s="2" t="e">
        <f ca="1">[1]!BExGetData("DP_1","00O2TNJGODT0K3UQEBMPMPSVW","1","13")</f>
        <v>#NAME?</v>
      </c>
    </row>
    <row r="6" spans="1:9" x14ac:dyDescent="0.25">
      <c r="A6" s="1" t="s">
        <v>16</v>
      </c>
      <c r="B6" s="1" t="s">
        <v>4</v>
      </c>
      <c r="C6" s="2" t="e">
        <f ca="1">[1]!BExGetData("DP_1","00O2TNJGODT0K3UQEBMPMNVCS","1","15")</f>
        <v>#NAME?</v>
      </c>
      <c r="D6" s="2" t="e">
        <f ca="1">[1]!BExGetData("DP_1","00O2TNJGODT0K3UQEBMPMOKN0","1","15")</f>
        <v>#NAME?</v>
      </c>
      <c r="E6" s="2" t="e">
        <f ca="1">[1]!BExGetData("DP_1","00O2TNJGODT0K3UQEBMPMOQYK","1","15")</f>
        <v>#NAME?</v>
      </c>
      <c r="F6" s="2" t="e">
        <f ca="1">[1]!BExGetData("DP_1","00O2TNJGODT0K3UQEBMPMP3LO","1","15")</f>
        <v>#NAME?</v>
      </c>
      <c r="G6" s="2" t="e">
        <f ca="1">[1]!BExGetData("DP_1","00O2TNJGODT0K3UQEBMPMP9X8","1","15")</f>
        <v>#NAME?</v>
      </c>
      <c r="H6" s="4" t="e">
        <f ca="1">[1]!BExGetData("DP_1","00O2TNJGODT0K3UQEBMPMPMKC","1","15")</f>
        <v>#NAME?</v>
      </c>
      <c r="I6" s="2" t="e">
        <f ca="1">[1]!BExGetData("DP_1","00O2TNJGODT0K3UQEBMPMPSVW","1","15")</f>
        <v>#NAME?</v>
      </c>
    </row>
    <row r="7" spans="1:9" x14ac:dyDescent="0.25">
      <c r="A7" s="1" t="s">
        <v>16</v>
      </c>
      <c r="B7" s="1" t="s">
        <v>20</v>
      </c>
      <c r="C7" s="2" t="e">
        <f ca="1">[1]!BExGetData("DP_1","00O2TNJGODT0K3UQEBMPMNVCS","1","17")</f>
        <v>#NAME?</v>
      </c>
      <c r="D7" s="2" t="e">
        <f ca="1">[1]!BExGetData("DP_1","00O2TNJGODT0K3UQEBMPMOKN0","1","17")</f>
        <v>#NAME?</v>
      </c>
      <c r="E7" s="2" t="e">
        <f ca="1">[1]!BExGetData("DP_1","00O2TNJGODT0K3UQEBMPMOQYK","1","17")</f>
        <v>#NAME?</v>
      </c>
      <c r="F7" s="2" t="e">
        <f ca="1">[1]!BExGetData("DP_1","00O2TNJGODT0K3UQEBMPMP3LO","1","17")</f>
        <v>#NAME?</v>
      </c>
      <c r="G7" s="2" t="e">
        <f ca="1">[1]!BExGetData("DP_1","00O2TNJGODT0K3UQEBMPMP9X8","1","17")</f>
        <v>#NAME?</v>
      </c>
      <c r="H7" s="4" t="e">
        <f ca="1">[1]!BExGetData("DP_1","00O2TNJGODT0K3UQEBMPMPMKC","1","17")</f>
        <v>#NAME?</v>
      </c>
      <c r="I7" s="2" t="e">
        <f ca="1">[1]!BExGetData("DP_1","00O2TNJGODT0K3UQEBMPMPSVW","1","17")</f>
        <v>#NAME?</v>
      </c>
    </row>
    <row r="8" spans="1:9" x14ac:dyDescent="0.25">
      <c r="A8" s="1" t="s">
        <v>16</v>
      </c>
      <c r="B8" s="1" t="s">
        <v>6</v>
      </c>
      <c r="C8" s="2" t="e">
        <f ca="1">[1]!BExGetData("DP_1","00O2TNJGODT0K3UQEBMPMNVCS","1","18")</f>
        <v>#NAME?</v>
      </c>
      <c r="D8" s="2" t="e">
        <f ca="1">[1]!BExGetData("DP_1","00O2TNJGODT0K3UQEBMPMOKN0","1","18")</f>
        <v>#NAME?</v>
      </c>
      <c r="E8" s="2" t="e">
        <f ca="1">[1]!BExGetData("DP_1","00O2TNJGODT0K3UQEBMPMOQYK","1","18")</f>
        <v>#NAME?</v>
      </c>
      <c r="F8" s="2" t="e">
        <f ca="1">[1]!BExGetData("DP_1","00O2TNJGODT0K3UQEBMPMP3LO","1","18")</f>
        <v>#NAME?</v>
      </c>
      <c r="G8" s="2" t="e">
        <f ca="1">[1]!BExGetData("DP_1","00O2TNJGODT0K3UQEBMPMP9X8","1","18")</f>
        <v>#NAME?</v>
      </c>
      <c r="H8" s="4" t="e">
        <f ca="1">[1]!BExGetData("DP_1","00O2TNJGODT0K3UQEBMPMPMKC","1","18")</f>
        <v>#NAME?</v>
      </c>
      <c r="I8" s="2" t="e">
        <f ca="1">[1]!BExGetData("DP_1","00O2TNJGODT0K3UQEBMPMPSVW","1","18")</f>
        <v>#NAME?</v>
      </c>
    </row>
    <row r="9" spans="1:9" x14ac:dyDescent="0.25">
      <c r="A9" s="1" t="s">
        <v>16</v>
      </c>
      <c r="B9" s="1" t="s">
        <v>7</v>
      </c>
      <c r="C9" s="2" t="e">
        <f ca="1">[1]!BExGetData("DP_1","00O2TNJGODT0K3UQEBMPMNVCS","1","19")</f>
        <v>#NAME?</v>
      </c>
      <c r="D9" s="2" t="e">
        <f ca="1">[1]!BExGetData("DP_1","00O2TNJGODT0K3UQEBMPMOKN0","1","19")</f>
        <v>#NAME?</v>
      </c>
      <c r="E9" s="2" t="e">
        <f ca="1">[1]!BExGetData("DP_1","00O2TNJGODT0K3UQEBMPMOQYK","1","19")</f>
        <v>#NAME?</v>
      </c>
      <c r="F9" s="2" t="e">
        <f ca="1">[1]!BExGetData("DP_1","00O2TNJGODT0K3UQEBMPMP3LO","1","19")</f>
        <v>#NAME?</v>
      </c>
      <c r="G9" s="2" t="e">
        <f ca="1">[1]!BExGetData("DP_1","00O2TNJGODT0K3UQEBMPMP9X8","1","19")</f>
        <v>#NAME?</v>
      </c>
      <c r="H9" s="4" t="e">
        <f ca="1">[1]!BExGetData("DP_1","00O2TNJGODT0K3UQEBMPMPMKC","1","19")</f>
        <v>#NAME?</v>
      </c>
      <c r="I9" s="2" t="e">
        <f ca="1">[1]!BExGetData("DP_1","00O2TNJGODT0K3UQEBMPMPSVW","1","19")</f>
        <v>#NAME?</v>
      </c>
    </row>
    <row r="10" spans="1:9" x14ac:dyDescent="0.25">
      <c r="A10" s="1" t="s">
        <v>16</v>
      </c>
      <c r="B10" s="5" t="s">
        <v>18</v>
      </c>
      <c r="C10" s="6" t="e">
        <f ca="1">[1]!BExGetData("DP_1","00O2TNJGODT0K3UQEBMPMNVCS","1","SUMME")</f>
        <v>#NAME?</v>
      </c>
      <c r="D10" s="6" t="e">
        <f ca="1">[1]!BExGetData("DP_1","00O2TNJGODT0K3UQEBMPMOKN0","1","SUMME")</f>
        <v>#NAME?</v>
      </c>
      <c r="E10" s="6" t="e">
        <f ca="1">[1]!BExGetData("DP_1","00O2TNJGODT0K3UQEBMPMOQYK","1","SUMME")</f>
        <v>#NAME?</v>
      </c>
      <c r="F10" s="6" t="e">
        <f ca="1">[1]!BExGetData("DP_1","00O2TNJGODT0K3UQEBMPMP3LO","1","SUMME")</f>
        <v>#NAME?</v>
      </c>
      <c r="G10" s="6" t="e">
        <f ca="1">[1]!BExGetData("DP_1","00O2TNJGODT0K3UQEBMPMP9X8","1","SUMME")</f>
        <v>#NAME?</v>
      </c>
      <c r="H10" s="8" t="e">
        <f ca="1">[1]!BExGetData("DP_1","00O2TNJGODT0K3UQEBMPMPMKC","1","SUMME")</f>
        <v>#NAME?</v>
      </c>
      <c r="I10" s="6" t="e">
        <f ca="1">[1]!BExGetData("DP_1","00O2TNJGODT0K3UQEBMPMPSVW","1","SUMME")</f>
        <v>#NAME?</v>
      </c>
    </row>
    <row r="11" spans="1:9" x14ac:dyDescent="0.25">
      <c r="A11" s="1" t="s">
        <v>3</v>
      </c>
      <c r="B11" s="1" t="s">
        <v>2</v>
      </c>
      <c r="C11" s="2" t="e">
        <f ca="1">[1]!BExGetData("DP_1","00O2TNJGODT0K3UQEBMPMNVCS","4","41")</f>
        <v>#NAME?</v>
      </c>
      <c r="D11" s="2" t="e">
        <f ca="1">[1]!BExGetData("DP_1","00O2TNJGODT0K3UQEBMPMOKN0","4","41")</f>
        <v>#NAME?</v>
      </c>
      <c r="E11" s="2" t="e">
        <f ca="1">[1]!BExGetData("DP_1","00O2TNJGODT0K3UQEBMPMOQYK","4","41")</f>
        <v>#NAME?</v>
      </c>
      <c r="F11" s="2" t="e">
        <f ca="1">[1]!BExGetData("DP_1","00O2TNJGODT0K3UQEBMPMP3LO","4","41")</f>
        <v>#NAME?</v>
      </c>
      <c r="G11" s="2" t="e">
        <f ca="1">[1]!BExGetData("DP_1","00O2TNJGODT0K3UQEBMPMP9X8","4","41")</f>
        <v>#NAME?</v>
      </c>
      <c r="H11" s="4" t="e">
        <f ca="1">[1]!BExGetData("DP_1","00O2TNJGODT0K3UQEBMPMPMKC","4","41")</f>
        <v>#NAME?</v>
      </c>
      <c r="I11" s="2" t="e">
        <f ca="1">[1]!BExGetData("DP_1","00O2TNJGODT0K3UQEBMPMPSVW","4","41")</f>
        <v>#NAME?</v>
      </c>
    </row>
    <row r="12" spans="1:9" x14ac:dyDescent="0.25">
      <c r="A12" s="1" t="s">
        <v>16</v>
      </c>
      <c r="B12" s="1" t="s">
        <v>19</v>
      </c>
      <c r="C12" s="2" t="e">
        <f ca="1">[1]!BExGetData("DP_1","00O2TNJGODT0K3UQEBMPMNVCS","4","43")</f>
        <v>#NAME?</v>
      </c>
      <c r="D12" s="2" t="e">
        <f ca="1">[1]!BExGetData("DP_1","00O2TNJGODT0K3UQEBMPMOKN0","4","43")</f>
        <v>#NAME?</v>
      </c>
      <c r="E12" s="2" t="e">
        <f ca="1">[1]!BExGetData("DP_1","00O2TNJGODT0K3UQEBMPMOQYK","4","43")</f>
        <v>#NAME?</v>
      </c>
      <c r="F12" s="2" t="e">
        <f ca="1">[1]!BExGetData("DP_1","00O2TNJGODT0K3UQEBMPMP3LO","4","43")</f>
        <v>#NAME?</v>
      </c>
      <c r="G12" s="2" t="e">
        <f ca="1">[1]!BExGetData("DP_1","00O2TNJGODT0K3UQEBMPMP9X8","4","43")</f>
        <v>#NAME?</v>
      </c>
      <c r="H12" s="4" t="e">
        <f ca="1">[1]!BExGetData("DP_1","00O2TNJGODT0K3UQEBMPMPMKC","4","43")</f>
        <v>#NAME?</v>
      </c>
      <c r="I12" s="2" t="e">
        <f ca="1">[1]!BExGetData("DP_1","00O2TNJGODT0K3UQEBMPMPSVW","4","43")</f>
        <v>#NAME?</v>
      </c>
    </row>
    <row r="13" spans="1:9" x14ac:dyDescent="0.25">
      <c r="A13" s="1" t="s">
        <v>16</v>
      </c>
      <c r="B13" s="1" t="s">
        <v>4</v>
      </c>
      <c r="C13" s="2" t="e">
        <f ca="1">[1]!BExGetData("DP_1","00O2TNJGODT0K3UQEBMPMNVCS","4","45")</f>
        <v>#NAME?</v>
      </c>
      <c r="D13" s="2" t="e">
        <f ca="1">[1]!BExGetData("DP_1","00O2TNJGODT0K3UQEBMPMOKN0","4","45")</f>
        <v>#NAME?</v>
      </c>
      <c r="E13" s="2" t="e">
        <f ca="1">[1]!BExGetData("DP_1","00O2TNJGODT0K3UQEBMPMOQYK","4","45")</f>
        <v>#NAME?</v>
      </c>
      <c r="F13" s="2" t="e">
        <f ca="1">[1]!BExGetData("DP_1","00O2TNJGODT0K3UQEBMPMP3LO","4","45")</f>
        <v>#NAME?</v>
      </c>
      <c r="G13" s="2" t="e">
        <f ca="1">[1]!BExGetData("DP_1","00O2TNJGODT0K3UQEBMPMP9X8","4","45")</f>
        <v>#NAME?</v>
      </c>
      <c r="H13" s="4" t="e">
        <f ca="1">[1]!BExGetData("DP_1","00O2TNJGODT0K3UQEBMPMPMKC","4","45")</f>
        <v>#NAME?</v>
      </c>
      <c r="I13" s="2" t="e">
        <f ca="1">[1]!BExGetData("DP_1","00O2TNJGODT0K3UQEBMPMPSVW","4","45")</f>
        <v>#NAME?</v>
      </c>
    </row>
    <row r="14" spans="1:9" x14ac:dyDescent="0.25">
      <c r="A14" s="1" t="s">
        <v>16</v>
      </c>
      <c r="B14" s="1" t="s">
        <v>7</v>
      </c>
      <c r="C14" s="2" t="e">
        <f ca="1">[1]!BExGetData("DP_1","00O2TNJGODT0K3UQEBMPMNVCS","4","49")</f>
        <v>#NAME?</v>
      </c>
      <c r="D14" s="2" t="e">
        <f ca="1">[1]!BExGetData("DP_1","00O2TNJGODT0K3UQEBMPMOKN0","4","49")</f>
        <v>#NAME?</v>
      </c>
      <c r="E14" s="2" t="e">
        <f ca="1">[1]!BExGetData("DP_1","00O2TNJGODT0K3UQEBMPMOQYK","4","49")</f>
        <v>#NAME?</v>
      </c>
      <c r="F14" s="2" t="e">
        <f ca="1">[1]!BExGetData("DP_1","00O2TNJGODT0K3UQEBMPMP3LO","4","49")</f>
        <v>#NAME?</v>
      </c>
      <c r="G14" s="2" t="e">
        <f ca="1">[1]!BExGetData("DP_1","00O2TNJGODT0K3UQEBMPMP9X8","4","49")</f>
        <v>#NAME?</v>
      </c>
      <c r="H14" s="4" t="e">
        <f ca="1">[1]!BExGetData("DP_1","00O2TNJGODT0K3UQEBMPMPMKC","4","49")</f>
        <v>#NAME?</v>
      </c>
      <c r="I14" s="2" t="e">
        <f ca="1">[1]!BExGetData("DP_1","00O2TNJGODT0K3UQEBMPMPSVW","4","49")</f>
        <v>#NAME?</v>
      </c>
    </row>
    <row r="15" spans="1:9" x14ac:dyDescent="0.25">
      <c r="A15" s="1" t="s">
        <v>16</v>
      </c>
      <c r="B15" s="5" t="s">
        <v>18</v>
      </c>
      <c r="C15" s="6" t="e">
        <f ca="1">[1]!BExGetData("DP_1","00O2TNJGODT0K3UQEBMPMNVCS","4","SUMME")</f>
        <v>#NAME?</v>
      </c>
      <c r="D15" s="6" t="e">
        <f ca="1">[1]!BExGetData("DP_1","00O2TNJGODT0K3UQEBMPMOKN0","4","SUMME")</f>
        <v>#NAME?</v>
      </c>
      <c r="E15" s="6" t="e">
        <f ca="1">[1]!BExGetData("DP_1","00O2TNJGODT0K3UQEBMPMOQYK","4","SUMME")</f>
        <v>#NAME?</v>
      </c>
      <c r="F15" s="6" t="e">
        <f ca="1">[1]!BExGetData("DP_1","00O2TNJGODT0K3UQEBMPMP3LO","4","SUMME")</f>
        <v>#NAME?</v>
      </c>
      <c r="G15" s="6" t="e">
        <f ca="1">[1]!BExGetData("DP_1","00O2TNJGODT0K3UQEBMPMP9X8","4","SUMME")</f>
        <v>#NAME?</v>
      </c>
      <c r="H15" s="8" t="e">
        <f ca="1">[1]!BExGetData("DP_1","00O2TNJGODT0K3UQEBMPMPMKC","4","SUMME")</f>
        <v>#NAME?</v>
      </c>
      <c r="I15" s="6" t="e">
        <f ca="1">[1]!BExGetData("DP_1","00O2TNJGODT0K3UQEBMPMPSVW","4","SUMME")</f>
        <v>#NAME?</v>
      </c>
    </row>
    <row r="16" spans="1:9" x14ac:dyDescent="0.25">
      <c r="A16" s="1" t="s">
        <v>4</v>
      </c>
      <c r="B16" s="1" t="s">
        <v>2</v>
      </c>
      <c r="C16" s="2" t="e">
        <f ca="1">[1]!BExGetData("DP_1","00O2TNJGODT0K3UQEBMPMNVCS","5","51")</f>
        <v>#NAME?</v>
      </c>
      <c r="D16" s="2" t="e">
        <f ca="1">[1]!BExGetData("DP_1","00O2TNJGODT0K3UQEBMPMOKN0","5","51")</f>
        <v>#NAME?</v>
      </c>
      <c r="E16" s="2" t="e">
        <f ca="1">[1]!BExGetData("DP_1","00O2TNJGODT0K3UQEBMPMOQYK","5","51")</f>
        <v>#NAME?</v>
      </c>
      <c r="F16" s="2" t="e">
        <f ca="1">[1]!BExGetData("DP_1","00O2TNJGODT0K3UQEBMPMP3LO","5","51")</f>
        <v>#NAME?</v>
      </c>
      <c r="G16" s="2" t="e">
        <f ca="1">[1]!BExGetData("DP_1","00O2TNJGODT0K3UQEBMPMP9X8","5","51")</f>
        <v>#NAME?</v>
      </c>
      <c r="H16" s="4" t="e">
        <f ca="1">[1]!BExGetData("DP_1","00O2TNJGODT0K3UQEBMPMPMKC","5","51")</f>
        <v>#NAME?</v>
      </c>
      <c r="I16" s="2" t="e">
        <f ca="1">[1]!BExGetData("DP_1","00O2TNJGODT0K3UQEBMPMPSVW","5","51")</f>
        <v>#NAME?</v>
      </c>
    </row>
    <row r="17" spans="1:9" x14ac:dyDescent="0.25">
      <c r="A17" s="1" t="s">
        <v>16</v>
      </c>
      <c r="B17" s="1" t="s">
        <v>21</v>
      </c>
      <c r="C17" s="2" t="e">
        <f ca="1">[1]!BExGetData("DP_1","00O2TNJGODT0K3UQEBMPMNVCS","5","52")</f>
        <v>#NAME?</v>
      </c>
      <c r="D17" s="2" t="e">
        <f ca="1">[1]!BExGetData("DP_1","00O2TNJGODT0K3UQEBMPMOKN0","5","52")</f>
        <v>#NAME?</v>
      </c>
      <c r="E17" s="2" t="e">
        <f ca="1">[1]!BExGetData("DP_1","00O2TNJGODT0K3UQEBMPMOQYK","5","52")</f>
        <v>#NAME?</v>
      </c>
      <c r="F17" s="2" t="e">
        <f ca="1">[1]!BExGetData("DP_1","00O2TNJGODT0K3UQEBMPMP3LO","5","52")</f>
        <v>#NAME?</v>
      </c>
      <c r="G17" s="2" t="e">
        <f ca="1">[1]!BExGetData("DP_1","00O2TNJGODT0K3UQEBMPMP9X8","5","52")</f>
        <v>#NAME?</v>
      </c>
      <c r="H17" s="4" t="e">
        <f ca="1">[1]!BExGetData("DP_1","00O2TNJGODT0K3UQEBMPMPMKC","5","52")</f>
        <v>#NAME?</v>
      </c>
      <c r="I17" s="2" t="e">
        <f ca="1">[1]!BExGetData("DP_1","00O2TNJGODT0K3UQEBMPMPSVW","5","52")</f>
        <v>#NAME?</v>
      </c>
    </row>
    <row r="18" spans="1:9" x14ac:dyDescent="0.25">
      <c r="A18" s="1" t="s">
        <v>16</v>
      </c>
      <c r="B18" s="5" t="s">
        <v>18</v>
      </c>
      <c r="C18" s="6" t="e">
        <f ca="1">[1]!BExGetData("DP_1","00O2TNJGODT0K3UQEBMPMNVCS","5","SUMME")</f>
        <v>#NAME?</v>
      </c>
      <c r="D18" s="6" t="e">
        <f ca="1">[1]!BExGetData("DP_1","00O2TNJGODT0K3UQEBMPMOKN0","5","SUMME")</f>
        <v>#NAME?</v>
      </c>
      <c r="E18" s="6" t="e">
        <f ca="1">[1]!BExGetData("DP_1","00O2TNJGODT0K3UQEBMPMOQYK","5","SUMME")</f>
        <v>#NAME?</v>
      </c>
      <c r="F18" s="6" t="e">
        <f ca="1">[1]!BExGetData("DP_1","00O2TNJGODT0K3UQEBMPMP3LO","5","SUMME")</f>
        <v>#NAME?</v>
      </c>
      <c r="G18" s="6" t="e">
        <f ca="1">[1]!BExGetData("DP_1","00O2TNJGODT0K3UQEBMPMP9X8","5","SUMME")</f>
        <v>#NAME?</v>
      </c>
      <c r="H18" s="8" t="e">
        <f ca="1">[1]!BExGetData("DP_1","00O2TNJGODT0K3UQEBMPMPMKC","5","SUMME")</f>
        <v>#NAME?</v>
      </c>
      <c r="I18" s="6" t="e">
        <f ca="1">[1]!BExGetData("DP_1","00O2TNJGODT0K3UQEBMPMPSVW","5","SUMME")</f>
        <v>#NAME?</v>
      </c>
    </row>
    <row r="19" spans="1:9" x14ac:dyDescent="0.25">
      <c r="A19" s="1" t="s">
        <v>5</v>
      </c>
      <c r="B19" s="1" t="s">
        <v>2</v>
      </c>
      <c r="C19" s="2" t="e">
        <f ca="1">[1]!BExGetData("DP_1","00O2TNJGODT0K3UQEBMPMNVCS","6","61")</f>
        <v>#NAME?</v>
      </c>
      <c r="D19" s="2" t="e">
        <f ca="1">[1]!BExGetData("DP_1","00O2TNJGODT0K3UQEBMPMOKN0","6","61")</f>
        <v>#NAME?</v>
      </c>
      <c r="E19" s="2" t="e">
        <f ca="1">[1]!BExGetData("DP_1","00O2TNJGODT0K3UQEBMPMOQYK","6","61")</f>
        <v>#NAME?</v>
      </c>
      <c r="F19" s="2" t="e">
        <f ca="1">[1]!BExGetData("DP_1","00O2TNJGODT0K3UQEBMPMP3LO","6","61")</f>
        <v>#NAME?</v>
      </c>
      <c r="G19" s="2" t="e">
        <f ca="1">[1]!BExGetData("DP_1","00O2TNJGODT0K3UQEBMPMP9X8","6","61")</f>
        <v>#NAME?</v>
      </c>
      <c r="H19" s="4" t="e">
        <f ca="1">[1]!BExGetData("DP_1","00O2TNJGODT0K3UQEBMPMPMKC","6","61")</f>
        <v>#NAME?</v>
      </c>
      <c r="I19" s="2" t="e">
        <f ca="1">[1]!BExGetData("DP_1","00O2TNJGODT0K3UQEBMPMPSVW","6","61")</f>
        <v>#NAME?</v>
      </c>
    </row>
    <row r="20" spans="1:9" x14ac:dyDescent="0.25">
      <c r="A20" s="1" t="s">
        <v>16</v>
      </c>
      <c r="B20" s="1" t="s">
        <v>7</v>
      </c>
      <c r="C20" s="2" t="e">
        <f ca="1">[1]!BExGetData("DP_1","00O2TNJGODT0K3UQEBMPMNVCS","6","69")</f>
        <v>#NAME?</v>
      </c>
      <c r="D20" s="2" t="e">
        <f ca="1">[1]!BExGetData("DP_1","00O2TNJGODT0K3UQEBMPMOKN0","6","69")</f>
        <v>#NAME?</v>
      </c>
      <c r="E20" s="2" t="e">
        <f ca="1">[1]!BExGetData("DP_1","00O2TNJGODT0K3UQEBMPMOQYK","6","69")</f>
        <v>#NAME?</v>
      </c>
      <c r="F20" s="2" t="e">
        <f ca="1">[1]!BExGetData("DP_1","00O2TNJGODT0K3UQEBMPMP3LO","6","69")</f>
        <v>#NAME?</v>
      </c>
      <c r="G20" s="2" t="e">
        <f ca="1">[1]!BExGetData("DP_1","00O2TNJGODT0K3UQEBMPMP9X8","6","69")</f>
        <v>#NAME?</v>
      </c>
      <c r="H20" s="4" t="e">
        <f ca="1">[1]!BExGetData("DP_1","00O2TNJGODT0K3UQEBMPMPMKC","6","69")</f>
        <v>#NAME?</v>
      </c>
      <c r="I20" s="2" t="e">
        <f ca="1">[1]!BExGetData("DP_1","00O2TNJGODT0K3UQEBMPMPSVW","6","69")</f>
        <v>#NAME?</v>
      </c>
    </row>
    <row r="21" spans="1:9" x14ac:dyDescent="0.25">
      <c r="A21" s="1" t="s">
        <v>16</v>
      </c>
      <c r="B21" s="5" t="s">
        <v>18</v>
      </c>
      <c r="C21" s="6" t="e">
        <f ca="1">[1]!BExGetData("DP_1","00O2TNJGODT0K3UQEBMPMNVCS","6","SUMME")</f>
        <v>#NAME?</v>
      </c>
      <c r="D21" s="6" t="e">
        <f ca="1">[1]!BExGetData("DP_1","00O2TNJGODT0K3UQEBMPMOKN0","6","SUMME")</f>
        <v>#NAME?</v>
      </c>
      <c r="E21" s="6" t="e">
        <f ca="1">[1]!BExGetData("DP_1","00O2TNJGODT0K3UQEBMPMOQYK","6","SUMME")</f>
        <v>#NAME?</v>
      </c>
      <c r="F21" s="6" t="e">
        <f ca="1">[1]!BExGetData("DP_1","00O2TNJGODT0K3UQEBMPMP3LO","6","SUMME")</f>
        <v>#NAME?</v>
      </c>
      <c r="G21" s="6" t="e">
        <f ca="1">[1]!BExGetData("DP_1","00O2TNJGODT0K3UQEBMPMP9X8","6","SUMME")</f>
        <v>#NAME?</v>
      </c>
      <c r="H21" s="8" t="e">
        <f ca="1">[1]!BExGetData("DP_1","00O2TNJGODT0K3UQEBMPMPMKC","6","SUMME")</f>
        <v>#NAME?</v>
      </c>
      <c r="I21" s="6" t="e">
        <f ca="1">[1]!BExGetData("DP_1","00O2TNJGODT0K3UQEBMPMPSVW","6","SUMME")</f>
        <v>#NAME?</v>
      </c>
    </row>
    <row r="22" spans="1:9" x14ac:dyDescent="0.25">
      <c r="A22" s="1" t="s">
        <v>20</v>
      </c>
      <c r="B22" s="1" t="s">
        <v>19</v>
      </c>
      <c r="C22" s="2" t="e">
        <f ca="1">[1]!BExGetData("DP_1","00O2TNJGODT0K3UQEBMPMNVCS","7","73")</f>
        <v>#NAME?</v>
      </c>
      <c r="D22" s="2" t="e">
        <f ca="1">[1]!BExGetData("DP_1","00O2TNJGODT0K3UQEBMPMOKN0","7","73")</f>
        <v>#NAME?</v>
      </c>
      <c r="E22" s="2" t="e">
        <f ca="1">[1]!BExGetData("DP_1","00O2TNJGODT0K3UQEBMPMOQYK","7","73")</f>
        <v>#NAME?</v>
      </c>
      <c r="F22" s="2" t="e">
        <f ca="1">[1]!BExGetData("DP_1","00O2TNJGODT0K3UQEBMPMP3LO","7","73")</f>
        <v>#NAME?</v>
      </c>
      <c r="G22" s="2" t="e">
        <f ca="1">[1]!BExGetData("DP_1","00O2TNJGODT0K3UQEBMPMP9X8","7","73")</f>
        <v>#NAME?</v>
      </c>
      <c r="H22" s="4" t="e">
        <f ca="1">[1]!BExGetData("DP_1","00O2TNJGODT0K3UQEBMPMPMKC","7","73")</f>
        <v>#NAME?</v>
      </c>
      <c r="I22" s="2" t="e">
        <f ca="1">[1]!BExGetData("DP_1","00O2TNJGODT0K3UQEBMPMPSVW","7","73")</f>
        <v>#NAME?</v>
      </c>
    </row>
    <row r="23" spans="1:9" x14ac:dyDescent="0.25">
      <c r="A23" s="1" t="s">
        <v>16</v>
      </c>
      <c r="B23" s="5" t="s">
        <v>18</v>
      </c>
      <c r="C23" s="6" t="e">
        <f ca="1">[1]!BExGetData("DP_1","00O2TNJGODT0K3UQEBMPMNVCS","7","SUMME")</f>
        <v>#NAME?</v>
      </c>
      <c r="D23" s="6" t="e">
        <f ca="1">[1]!BExGetData("DP_1","00O2TNJGODT0K3UQEBMPMOKN0","7","SUMME")</f>
        <v>#NAME?</v>
      </c>
      <c r="E23" s="6" t="e">
        <f ca="1">[1]!BExGetData("DP_1","00O2TNJGODT0K3UQEBMPMOQYK","7","SUMME")</f>
        <v>#NAME?</v>
      </c>
      <c r="F23" s="6" t="e">
        <f ca="1">[1]!BExGetData("DP_1","00O2TNJGODT0K3UQEBMPMP3LO","7","SUMME")</f>
        <v>#NAME?</v>
      </c>
      <c r="G23" s="6" t="e">
        <f ca="1">[1]!BExGetData("DP_1","00O2TNJGODT0K3UQEBMPMP9X8","7","SUMME")</f>
        <v>#NAME?</v>
      </c>
      <c r="H23" s="8" t="e">
        <f ca="1">[1]!BExGetData("DP_1","00O2TNJGODT0K3UQEBMPMPMKC","7","SUMME")</f>
        <v>#NAME?</v>
      </c>
      <c r="I23" s="6" t="e">
        <f ca="1">[1]!BExGetData("DP_1","00O2TNJGODT0K3UQEBMPMPSVW","7","SUMME")</f>
        <v>#NAME?</v>
      </c>
    </row>
    <row r="24" spans="1:9" x14ac:dyDescent="0.25">
      <c r="A24" s="1" t="s">
        <v>6</v>
      </c>
      <c r="B24" s="1" t="s">
        <v>2</v>
      </c>
      <c r="C24" s="2" t="e">
        <f ca="1">[1]!BExGetData("DP_1","00O2TNJGODT0K3UQEBMPMNVCS","8","81")</f>
        <v>#NAME?</v>
      </c>
      <c r="D24" s="2" t="e">
        <f ca="1">[1]!BExGetData("DP_1","00O2TNJGODT0K3UQEBMPMOKN0","8","81")</f>
        <v>#NAME?</v>
      </c>
      <c r="E24" s="2" t="e">
        <f ca="1">[1]!BExGetData("DP_1","00O2TNJGODT0K3UQEBMPMOQYK","8","81")</f>
        <v>#NAME?</v>
      </c>
      <c r="F24" s="2" t="e">
        <f ca="1">[1]!BExGetData("DP_1","00O2TNJGODT0K3UQEBMPMP3LO","8","81")</f>
        <v>#NAME?</v>
      </c>
      <c r="G24" s="2" t="e">
        <f ca="1">[1]!BExGetData("DP_1","00O2TNJGODT0K3UQEBMPMP9X8","8","81")</f>
        <v>#NAME?</v>
      </c>
      <c r="H24" s="4" t="e">
        <f ca="1">[1]!BExGetData("DP_1","00O2TNJGODT0K3UQEBMPMPMKC","8","81")</f>
        <v>#NAME?</v>
      </c>
      <c r="I24" s="2" t="e">
        <f ca="1">[1]!BExGetData("DP_1","00O2TNJGODT0K3UQEBMPMPSVW","8","81")</f>
        <v>#NAME?</v>
      </c>
    </row>
    <row r="25" spans="1:9" x14ac:dyDescent="0.25">
      <c r="A25" s="1" t="s">
        <v>16</v>
      </c>
      <c r="B25" s="1" t="s">
        <v>21</v>
      </c>
      <c r="C25" s="2" t="e">
        <f ca="1">[1]!BExGetData("DP_1","00O2TNJGODT0K3UQEBMPMNVCS","8","82")</f>
        <v>#NAME?</v>
      </c>
      <c r="D25" s="2" t="e">
        <f ca="1">[1]!BExGetData("DP_1","00O2TNJGODT0K3UQEBMPMOKN0","8","82")</f>
        <v>#NAME?</v>
      </c>
      <c r="E25" s="2" t="e">
        <f ca="1">[1]!BExGetData("DP_1","00O2TNJGODT0K3UQEBMPMOQYK","8","82")</f>
        <v>#NAME?</v>
      </c>
      <c r="F25" s="2" t="e">
        <f ca="1">[1]!BExGetData("DP_1","00O2TNJGODT0K3UQEBMPMP3LO","8","82")</f>
        <v>#NAME?</v>
      </c>
      <c r="G25" s="2" t="e">
        <f ca="1">[1]!BExGetData("DP_1","00O2TNJGODT0K3UQEBMPMP9X8","8","82")</f>
        <v>#NAME?</v>
      </c>
      <c r="H25" s="4" t="e">
        <f ca="1">[1]!BExGetData("DP_1","00O2TNJGODT0K3UQEBMPMPMKC","8","82")</f>
        <v>#NAME?</v>
      </c>
      <c r="I25" s="2" t="e">
        <f ca="1">[1]!BExGetData("DP_1","00O2TNJGODT0K3UQEBMPMPSVW","8","82")</f>
        <v>#NAME?</v>
      </c>
    </row>
    <row r="26" spans="1:9" x14ac:dyDescent="0.25">
      <c r="A26" s="1" t="s">
        <v>16</v>
      </c>
      <c r="B26" s="1" t="s">
        <v>19</v>
      </c>
      <c r="C26" s="2" t="e">
        <f ca="1">[1]!BExGetData("DP_1","00O2TNJGODT0K3UQEBMPMNVCS","8","83")</f>
        <v>#NAME?</v>
      </c>
      <c r="D26" s="2" t="e">
        <f ca="1">[1]!BExGetData("DP_1","00O2TNJGODT0K3UQEBMPMOKN0","8","83")</f>
        <v>#NAME?</v>
      </c>
      <c r="E26" s="2" t="e">
        <f ca="1">[1]!BExGetData("DP_1","00O2TNJGODT0K3UQEBMPMOQYK","8","83")</f>
        <v>#NAME?</v>
      </c>
      <c r="F26" s="2" t="e">
        <f ca="1">[1]!BExGetData("DP_1","00O2TNJGODT0K3UQEBMPMP3LO","8","83")</f>
        <v>#NAME?</v>
      </c>
      <c r="G26" s="2" t="e">
        <f ca="1">[1]!BExGetData("DP_1","00O2TNJGODT0K3UQEBMPMP9X8","8","83")</f>
        <v>#NAME?</v>
      </c>
      <c r="H26" s="4" t="e">
        <f ca="1">[1]!BExGetData("DP_1","00O2TNJGODT0K3UQEBMPMPMKC","8","83")</f>
        <v>#NAME?</v>
      </c>
      <c r="I26" s="2" t="e">
        <f ca="1">[1]!BExGetData("DP_1","00O2TNJGODT0K3UQEBMPMPSVW","8","83")</f>
        <v>#NAME?</v>
      </c>
    </row>
    <row r="27" spans="1:9" x14ac:dyDescent="0.25">
      <c r="A27" s="1" t="s">
        <v>16</v>
      </c>
      <c r="B27" s="5" t="s">
        <v>18</v>
      </c>
      <c r="C27" s="6" t="e">
        <f ca="1">[1]!BExGetData("DP_1","00O2TNJGODT0K3UQEBMPMNVCS","8","SUMME")</f>
        <v>#NAME?</v>
      </c>
      <c r="D27" s="6" t="e">
        <f ca="1">[1]!BExGetData("DP_1","00O2TNJGODT0K3UQEBMPMOKN0","8","SUMME")</f>
        <v>#NAME?</v>
      </c>
      <c r="E27" s="6" t="e">
        <f ca="1">[1]!BExGetData("DP_1","00O2TNJGODT0K3UQEBMPMOQYK","8","SUMME")</f>
        <v>#NAME?</v>
      </c>
      <c r="F27" s="6" t="e">
        <f ca="1">[1]!BExGetData("DP_1","00O2TNJGODT0K3UQEBMPMP3LO","8","SUMME")</f>
        <v>#NAME?</v>
      </c>
      <c r="G27" s="6" t="e">
        <f ca="1">[1]!BExGetData("DP_1","00O2TNJGODT0K3UQEBMPMP9X8","8","SUMME")</f>
        <v>#NAME?</v>
      </c>
      <c r="H27" s="8" t="e">
        <f ca="1">[1]!BExGetData("DP_1","00O2TNJGODT0K3UQEBMPMPMKC","8","SUMME")</f>
        <v>#NAME?</v>
      </c>
      <c r="I27" s="6" t="e">
        <f ca="1">[1]!BExGetData("DP_1","00O2TNJGODT0K3UQEBMPMPSVW","8","SUMME")</f>
        <v>#NAME?</v>
      </c>
    </row>
    <row r="28" spans="1:9" x14ac:dyDescent="0.25">
      <c r="A28" s="1" t="s">
        <v>7</v>
      </c>
      <c r="B28" s="1" t="s">
        <v>2</v>
      </c>
      <c r="C28" s="2" t="e">
        <f ca="1">[1]!BExGetData("DP_1","00O2TNJGODT0K3UQEBMPMNVCS","9","91")</f>
        <v>#NAME?</v>
      </c>
      <c r="D28" s="2" t="e">
        <f ca="1">[1]!BExGetData("DP_1","00O2TNJGODT0K3UQEBMPMOKN0","9","91")</f>
        <v>#NAME?</v>
      </c>
      <c r="E28" s="2" t="e">
        <f ca="1">[1]!BExGetData("DP_1","00O2TNJGODT0K3UQEBMPMOQYK","9","91")</f>
        <v>#NAME?</v>
      </c>
      <c r="F28" s="2" t="e">
        <f ca="1">[1]!BExGetData("DP_1","00O2TNJGODT0K3UQEBMPMP3LO","9","91")</f>
        <v>#NAME?</v>
      </c>
      <c r="G28" s="2" t="e">
        <f ca="1">[1]!BExGetData("DP_1","00O2TNJGODT0K3UQEBMPMP9X8","9","91")</f>
        <v>#NAME?</v>
      </c>
      <c r="H28" s="4" t="e">
        <f ca="1">[1]!BExGetData("DP_1","00O2TNJGODT0K3UQEBMPMPMKC","9","91")</f>
        <v>#NAME?</v>
      </c>
      <c r="I28" s="2" t="e">
        <f ca="1">[1]!BExGetData("DP_1","00O2TNJGODT0K3UQEBMPMPSVW","9","91")</f>
        <v>#NAME?</v>
      </c>
    </row>
    <row r="29" spans="1:9" x14ac:dyDescent="0.25">
      <c r="A29" s="1" t="s">
        <v>16</v>
      </c>
      <c r="B29" s="1" t="s">
        <v>19</v>
      </c>
      <c r="C29" s="2" t="e">
        <f ca="1">[1]!BExGetData("DP_1","00O2TNJGODT0K3UQEBMPMNVCS","9","93")</f>
        <v>#NAME?</v>
      </c>
      <c r="D29" s="2" t="e">
        <f ca="1">[1]!BExGetData("DP_1","00O2TNJGODT0K3UQEBMPMOKN0","9","93")</f>
        <v>#NAME?</v>
      </c>
      <c r="E29" s="2" t="e">
        <f ca="1">[1]!BExGetData("DP_1","00O2TNJGODT0K3UQEBMPMOQYK","9","93")</f>
        <v>#NAME?</v>
      </c>
      <c r="F29" s="2" t="e">
        <f ca="1">[1]!BExGetData("DP_1","00O2TNJGODT0K3UQEBMPMP3LO","9","93")</f>
        <v>#NAME?</v>
      </c>
      <c r="G29" s="2" t="e">
        <f ca="1">[1]!BExGetData("DP_1","00O2TNJGODT0K3UQEBMPMP9X8","9","93")</f>
        <v>#NAME?</v>
      </c>
      <c r="H29" s="4" t="e">
        <f ca="1">[1]!BExGetData("DP_1","00O2TNJGODT0K3UQEBMPMPMKC","9","93")</f>
        <v>#NAME?</v>
      </c>
      <c r="I29" s="2" t="e">
        <f ca="1">[1]!BExGetData("DP_1","00O2TNJGODT0K3UQEBMPMPSVW","9","93")</f>
        <v>#NAME?</v>
      </c>
    </row>
    <row r="30" spans="1:9" x14ac:dyDescent="0.25">
      <c r="A30" s="1" t="s">
        <v>16</v>
      </c>
      <c r="B30" s="1" t="s">
        <v>5</v>
      </c>
      <c r="C30" s="2" t="e">
        <f ca="1">[1]!BExGetData("DP_1","00O2TNJGODT0K3UQEBMPMNVCS","9","96")</f>
        <v>#NAME?</v>
      </c>
      <c r="D30" s="2" t="e">
        <f ca="1">[1]!BExGetData("DP_1","00O2TNJGODT0K3UQEBMPMOKN0","9","96")</f>
        <v>#NAME?</v>
      </c>
      <c r="E30" s="10" t="e">
        <f ca="1">[1]!BExGetData("DP_1","00O2TNJGODT0K3UQEBMPMOQYK","9","96")</f>
        <v>#NAME?</v>
      </c>
      <c r="F30" s="10" t="e">
        <f ca="1">[1]!BExGetData("DP_1","00O2TNJGODT0K3UQEBMPMP3LO","9","96")</f>
        <v>#NAME?</v>
      </c>
      <c r="G30" s="10" t="e">
        <f ca="1">[1]!BExGetData("DP_1","00O2TNJGODT0K3UQEBMPMP9X8","9","96")</f>
        <v>#NAME?</v>
      </c>
      <c r="H30" s="11" t="e">
        <f ca="1">[1]!BExGetData("DP_1","00O2TNJGODT0K3UQEBMPMPMKC","9","96")</f>
        <v>#NAME?</v>
      </c>
      <c r="I30" s="2" t="e">
        <f ca="1">[1]!BExGetData("DP_1","00O2TNJGODT0K3UQEBMPMPSVW","9","96")</f>
        <v>#NAME?</v>
      </c>
    </row>
    <row r="31" spans="1:9" x14ac:dyDescent="0.25">
      <c r="A31" s="1" t="s">
        <v>16</v>
      </c>
      <c r="B31" s="5" t="s">
        <v>18</v>
      </c>
      <c r="C31" s="6" t="e">
        <f ca="1">[1]!BExGetData("DP_1","00O2TNJGODT0K3UQEBMPMNVCS","9","SUMME")</f>
        <v>#NAME?</v>
      </c>
      <c r="D31" s="6" t="e">
        <f ca="1">[1]!BExGetData("DP_1","00O2TNJGODT0K3UQEBMPMOKN0","9","SUMME")</f>
        <v>#NAME?</v>
      </c>
      <c r="E31" s="6" t="e">
        <f ca="1">[1]!BExGetData("DP_1","00O2TNJGODT0K3UQEBMPMOQYK","9","SUMME")</f>
        <v>#NAME?</v>
      </c>
      <c r="F31" s="6" t="e">
        <f ca="1">[1]!BExGetData("DP_1","00O2TNJGODT0K3UQEBMPMP3LO","9","SUMME")</f>
        <v>#NAME?</v>
      </c>
      <c r="G31" s="6" t="e">
        <f ca="1">[1]!BExGetData("DP_1","00O2TNJGODT0K3UQEBMPMP9X8","9","SUMME")</f>
        <v>#NAME?</v>
      </c>
      <c r="H31" s="8" t="e">
        <f ca="1">[1]!BExGetData("DP_1","00O2TNJGODT0K3UQEBMPMPMKC","9","SUMME")</f>
        <v>#NAME?</v>
      </c>
      <c r="I31" s="6" t="e">
        <f ca="1">[1]!BExGetData("DP_1","00O2TNJGODT0K3UQEBMPMPSVW","9","SUMME")</f>
        <v>#NAME?</v>
      </c>
    </row>
    <row r="32" spans="1:9" x14ac:dyDescent="0.25">
      <c r="A32" s="1" t="s">
        <v>23</v>
      </c>
      <c r="B32" s="1" t="s">
        <v>24</v>
      </c>
      <c r="C32" s="10" t="e">
        <f ca="1">[1]!BExGetData("DP_1","00O2TNJGODT0K3UQEBMPMNVCS","P","PO")</f>
        <v>#NAME?</v>
      </c>
      <c r="D32" s="3" t="e">
        <f ca="1">[1]!BExGetData("DP_1","00O2TNJGODT0K3UQEBMPMOKN0","P","PO")</f>
        <v>#NAME?</v>
      </c>
      <c r="E32" s="3" t="e">
        <f ca="1">[1]!BExGetData("DP_1","00O2TNJGODT0K3UQEBMPMOQYK","P","PO")</f>
        <v>#NAME?</v>
      </c>
      <c r="F32" s="2" t="e">
        <f ca="1">[1]!BExGetData("DP_1","00O2TNJGODT0K3UQEBMPMP3LO","P","PO")</f>
        <v>#NAME?</v>
      </c>
      <c r="G32" s="2" t="e">
        <f ca="1">[1]!BExGetData("DP_1","00O2TNJGODT0K3UQEBMPMP9X8","P","PO")</f>
        <v>#NAME?</v>
      </c>
      <c r="H32" s="11" t="e">
        <f ca="1">[1]!BExGetData("DP_1","00O2TNJGODT0K3UQEBMPMPMKC","P","PO")</f>
        <v>#NAME?</v>
      </c>
      <c r="I32" s="2" t="e">
        <f ca="1">[1]!BExGetData("DP_1","00O2TNJGODT0K3UQEBMPMPSVW","P","PO")</f>
        <v>#NAME?</v>
      </c>
    </row>
    <row r="33" spans="1:9" x14ac:dyDescent="0.25">
      <c r="A33" s="1" t="s">
        <v>16</v>
      </c>
      <c r="B33" s="5" t="s">
        <v>18</v>
      </c>
      <c r="C33" s="12" t="e">
        <f ca="1">[1]!BExGetData("DP_1","00O2TNJGODT0K3UQEBMPMNVCS","P","SUMME")</f>
        <v>#NAME?</v>
      </c>
      <c r="D33" s="7" t="e">
        <f ca="1">[1]!BExGetData("DP_1","00O2TNJGODT0K3UQEBMPMOKN0","P","SUMME")</f>
        <v>#NAME?</v>
      </c>
      <c r="E33" s="7" t="e">
        <f ca="1">[1]!BExGetData("DP_1","00O2TNJGODT0K3UQEBMPMOQYK","P","SUMME")</f>
        <v>#NAME?</v>
      </c>
      <c r="F33" s="6" t="e">
        <f ca="1">[1]!BExGetData("DP_1","00O2TNJGODT0K3UQEBMPMP3LO","P","SUMME")</f>
        <v>#NAME?</v>
      </c>
      <c r="G33" s="6" t="e">
        <f ca="1">[1]!BExGetData("DP_1","00O2TNJGODT0K3UQEBMPMP9X8","P","SUMME")</f>
        <v>#NAME?</v>
      </c>
      <c r="H33" s="13" t="e">
        <f ca="1">[1]!BExGetData("DP_1","00O2TNJGODT0K3UQEBMPMPMKC","P","SUMME")</f>
        <v>#NAME?</v>
      </c>
      <c r="I33" s="6" t="e">
        <f ca="1">[1]!BExGetData("DP_1","00O2TNJGODT0K3UQEBMPMPSVW","P","SUMME")</f>
        <v>#NAME?</v>
      </c>
    </row>
    <row r="34" spans="1:9" x14ac:dyDescent="0.25">
      <c r="A34" s="1" t="s">
        <v>22</v>
      </c>
      <c r="B34" s="1" t="s">
        <v>22</v>
      </c>
      <c r="C34" s="10" t="e">
        <f ca="1">[1]!BExGetData("DP_1","00O2TNJGODT0K3UQEBMPMNVCS","#","#")</f>
        <v>#NAME?</v>
      </c>
      <c r="D34" s="3" t="e">
        <f ca="1">[1]!BExGetData("DP_1","00O2TNJGODT0K3UQEBMPMOKN0","#","#")</f>
        <v>#NAME?</v>
      </c>
      <c r="E34" s="3" t="e">
        <f ca="1">[1]!BExGetData("DP_1","00O2TNJGODT0K3UQEBMPMOQYK","#","#")</f>
        <v>#NAME?</v>
      </c>
      <c r="F34" s="2" t="e">
        <f ca="1">[1]!BExGetData("DP_1","00O2TNJGODT0K3UQEBMPMP3LO","#","#")</f>
        <v>#NAME?</v>
      </c>
      <c r="G34" s="2" t="e">
        <f ca="1">[1]!BExGetData("DP_1","00O2TNJGODT0K3UQEBMPMP9X8","#","#")</f>
        <v>#NAME?</v>
      </c>
      <c r="H34" s="11" t="e">
        <f ca="1">[1]!BExGetData("DP_1","00O2TNJGODT0K3UQEBMPMPMKC","#","#")</f>
        <v>#NAME?</v>
      </c>
      <c r="I34" s="2" t="e">
        <f ca="1">[1]!BExGetData("DP_1","00O2TNJGODT0K3UQEBMPMPSVW","#","#")</f>
        <v>#NAME?</v>
      </c>
    </row>
    <row r="35" spans="1:9" x14ac:dyDescent="0.25">
      <c r="A35" s="1" t="s">
        <v>16</v>
      </c>
      <c r="B35" s="5" t="s">
        <v>18</v>
      </c>
      <c r="C35" s="12" t="e">
        <f ca="1">[1]!BExGetData("DP_1","00O2TNJGODT0K3UQEBMPMNVCS","#","SUMME")</f>
        <v>#NAME?</v>
      </c>
      <c r="D35" s="7" t="e">
        <f ca="1">[1]!BExGetData("DP_1","00O2TNJGODT0K3UQEBMPMOKN0","#","SUMME")</f>
        <v>#NAME?</v>
      </c>
      <c r="E35" s="7" t="e">
        <f ca="1">[1]!BExGetData("DP_1","00O2TNJGODT0K3UQEBMPMOQYK","#","SUMME")</f>
        <v>#NAME?</v>
      </c>
      <c r="F35" s="6" t="e">
        <f ca="1">[1]!BExGetData("DP_1","00O2TNJGODT0K3UQEBMPMP3LO","#","SUMME")</f>
        <v>#NAME?</v>
      </c>
      <c r="G35" s="6" t="e">
        <f ca="1">[1]!BExGetData("DP_1","00O2TNJGODT0K3UQEBMPMP9X8","#","SUMME")</f>
        <v>#NAME?</v>
      </c>
      <c r="H35" s="13" t="e">
        <f ca="1">[1]!BExGetData("DP_1","00O2TNJGODT0K3UQEBMPMPMKC","#","SUMME")</f>
        <v>#NAME?</v>
      </c>
      <c r="I35" s="6" t="e">
        <f ca="1">[1]!BExGetData("DP_1","00O2TNJGODT0K3UQEBMPMPSVW","#","SUMME")</f>
        <v>#NAME?</v>
      </c>
    </row>
    <row r="36" spans="1:9" x14ac:dyDescent="0.25">
      <c r="A36" s="5" t="s">
        <v>8</v>
      </c>
      <c r="B36" s="5" t="s">
        <v>16</v>
      </c>
      <c r="C36" s="6" t="e">
        <f ca="1">[1]!BExGetData("DP_1","00O2TNJGODT0K3UQEBMPMNVCS","SUMME","SUMME")</f>
        <v>#NAME?</v>
      </c>
      <c r="D36" s="6" t="e">
        <f ca="1">[1]!BExGetData("DP_1","00O2TNJGODT0K3UQEBMPMOKN0","SUMME","SUMME")</f>
        <v>#NAME?</v>
      </c>
      <c r="E36" s="6" t="e">
        <f ca="1">[1]!BExGetData("DP_1","00O2TNJGODT0K3UQEBMPMOQYK","SUMME","SUMME")</f>
        <v>#NAME?</v>
      </c>
      <c r="F36" s="6" t="e">
        <f ca="1">[1]!BExGetData("DP_1","00O2TNJGODT0K3UQEBMPMP3LO","SUMME","SUMME")</f>
        <v>#NAME?</v>
      </c>
      <c r="G36" s="6" t="e">
        <f ca="1">[1]!BExGetData("DP_1","00O2TNJGODT0K3UQEBMPMP9X8","SUMME","SUMME")</f>
        <v>#NAME?</v>
      </c>
      <c r="H36" s="8" t="e">
        <f ca="1">[1]!BExGetData("DP_1","00O2TNJGODT0K3UQEBMPMPMKC","SUMME","SUMME")</f>
        <v>#NAME?</v>
      </c>
      <c r="I36" s="6" t="e">
        <f ca="1">[1]!BExGetData("DP_1","00O2TNJGODT0K3UQEBMPMPSVW","SUMME","SUMME")</f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baseColWidth="10" defaultRowHeight="15" x14ac:dyDescent="0.25"/>
  <cols>
    <col min="1" max="1" width="28" bestFit="1" customWidth="1"/>
    <col min="2" max="3" width="18.42578125" bestFit="1" customWidth="1"/>
    <col min="4" max="4" width="27.7109375" bestFit="1" customWidth="1"/>
    <col min="5" max="5" width="20" bestFit="1" customWidth="1"/>
    <col min="6" max="7" width="20.5703125" bestFit="1" customWidth="1"/>
    <col min="8" max="8" width="17" bestFit="1" customWidth="1"/>
    <col min="9" max="9" width="20.8554687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D M f 2 t 8 f P z 1 9 f f L q 7 O U b / m K 8 n Z 6 U W V O c F 9 N s W v y j f + s y X V V 1 + m o 9 q a t 0 l q d n y 4 s 6 b 6 r m 8 V 3 / r c f P X n 3 5 4 s 3 p i 6 e / v 3 b 1 + 5 + 9 e P b l 0 Y N 7 O z v j e + P 7 O 7 v j 3 Y e f E m 7 x Z o / f / P 5 P j 9 8 c v 3 z 1 5 U + e P T 1 9 R W i + f v X 7 v / 6 9 O x + + O P 7 i 9 O j p y 9 + f U O d f a T A / 8 d X p 6 z e E / 9 k X 9 N e r 3 / v 3 / 7 2 f v / 7 9 + Y + z L 5 9 8 5 8 U X R z / 1 7 I u T k + P P n z 2 + q x / w F 2 9 + 7 z f p 3 a P H r 7 / 6 4 v j J 8 9 O j 3 / v x X f P r 4 7 P X v / / r N 6 + + O n n z 1 a t T t D n + v c 9 e 4 + f L L 1 + f v T k i m t 8 n + v L v j 0 + + f f y T z 3 / / U 4 E l f y h g / g O / v P j y 6 e n v L z 3 z 5 1 9 9 8 R V / / v L 5 6 U + e a g v q m n t A s 5 e v X r 9 4 c 7 Q n 2 M o f j w m d N 7 / / 8 5 9 8 T p 0 T n u a P x 9 9 + 9 f v 8 / s c n b 8 5 + k t H 8 9 t m p d K F k x a 9 E v N M 3 x B D 6 0 H z J B 4 9 f / / 5 v f p + X R 7 8 X Q e N f 6 G / q z S O V / P 0 Y l H x 1 d I y / 8 Q v 9 f f r 8 z V d n T 3 e Z d v r H H v c u g L 7 9 + K 7 + h k 8 I h n 6 n Y P Q 3 f O I B s n 8 J J J 8 y T 0 / P n n r o 6 w e P T 7 4 k 9 n n x 6 k g + N X / h 4 z f H Z y 9 e / / 6 / 1 + / z D O 9 / f v b 6 z U u I g / y C v 4 / f v H l 1 J n Q S 0 v 3 + r 0 + f n 5 6 A g b 3 P A P H M f A Y y 8 y z y p F t S P 3 t + / D l E y P 1 h K G + + 8 f / U q T B f e X 8 9 p n / f / P 7 K X C Q d 7 i / 5 5 n X n O / O 3 + Z a I D Z z 0 L y I v j + P 5 6 f E z Q v r 1 S 7 C S 9 5 f 9 5 u T b P I c v v z w B Z P 7 5 W G a B q P r l 3 p s X 3 / n 8 y 6 d v d n 6 v e 1 / 9 x O m T L 1 5 + 8 X u 9 / L 1 e P 7 6 r L d D b 5 3 t H K Z 6 d N N 3 9 N N 1 j 7 O i z x 2 + + / Z 0 3 i t D n + / j l D c 8 n M / g X x 7 + 3 / I U + 3 R + P v z h 7 4 X 1 u / w D p X 5 s p o H G e v l b q v w a W T H r 8 9 v g 1 U Z p 7 + r 3 f v P 7 2 s + d H v 8 / j u + Z X f P b F U / s Z / 4 r P n n 9 O v / z e / B n / S u q G Z O n k 9 P X r 3 / 8 L m m u m j W E M + 8 k X p 1 8 8 O X 3 V b U d Y v C K 6 M 2 5 P T 4 k B n / / + 9 E 7 A V m h C r C X M 6 P 4 g / e s r r J j 2 2 n n 2 F T H 3 7 8 + S + e z 3 + c Z 0 2 M 6 D / 7 / q s C 7 B f q T J f q T J Q k 3 2 E 1 9 + + 8 s h T Z Z + + v 9 F P f b 7 / H 9 D j 5 3 8 / s e v T o + / M R 2 2 + 7 O i w 4 6 + g n D y b / + v 0 G W G a D / S Y z / S Y 6 E e e / 3 F z q B H t r f z / 3 Y 9 9 n v / f 1 O P w a 8 4 P T n 5 8 h v T Y j s H P x t a D L / 9 X G s v R 6 o f 6 a 4 f 6 a 6 O D / b V m 4 N B H + z B / 9 t 1 1 / + X Y 8 n X v / / J m 1 f f n P Z 6 + L O h v f 7 f 5 o M Z o v 1 I j / 1 I j 4 V 6 7 N X u / q A P l h 7 8 v 0 m P / d 4 R P f Z 7 R / T Y / w d 8 s J 2 T L 7 5 4 8 / u f v T n 9 Q v I 8 Z y e 0 B v G N q b T d e z 8 b K g 2 / / Z y r s j j d f q T V f q T V O l r t u z / x e w 3 m + v f / 3 6 T V / n / k n Y l E f v k N h p a 7 n / 7 s a 7 K d n x N N 5 t H q 5 1 B 7 / U h 7 / b 9 S e 7 1 + 9 v J g U H s 9 / J H 2 Y n n 7 p r V X 3 7 f 4 8 s X J N 6 f J 9 n / 2 N d n / W 3 w y p t u P t N q P t F p H q 9 3 b 2 x / U a v d / 1 r Q a F M 4 r l v b X v z / 9 r b Q / + q l v e 8 w q H x n O f 0 j P 7 t 4 9 S + R A O t 6 Q 4 B 5 9 J 6 / H 6 U m 1 n O a r t k o 5 B u H P S c 2 E f d 0 V D H 4 e a 9 V n Z 6 9 P X p 5 + g / m 6 v Z 9 9 R b r 7 c 6 N I L a l + p D t / p D s 7 u v P h 0 y 8 H d e f / q 1 Y b f u + I 7 v q 9 I 7 r r / w t Z O i T O x a k 5 f f b l i 2 9 O h d 3 / 2 V d h O z 9 H K q x D s R 9 p s h 9 p s s 6 6 6 Z O v B j N z 6 Y 8 y c z + L m u y b 0 1 8 / K + s L / 6 9 b M v 2 R 9 v q R 9 u p p r / v f 2 R n U X n v / b 9 J e v 3 d E e / 3 e E e 3 1 / z U / 7 N k 3 p 8 Z + C I s L P 4 f q y y P Y j / T Y j / R Y R 4 + d f T q Y i 0 t / 9 n J x Z g L e Q 4 / 9 / 8 g L g z y e f P H V N x h I 7 v 5 s a L C 4 I / b 5 z 4 k m c y T 7 k Q 7 7 k Q 4 L d d j v 9 Z P f P R n M i R 3 8 v 8 s b + 3 + p F v s 6 W m z n 5 V e / / 5 O n n 7 8 5 + w Y D y v / f L I 6 + 7 n p i H r F + p M F + p M F C D f b 8 1 d m w F 3 b v / / 0 a T H y u / 8 / F k + x U v P z y m 9 N f u z v / f 9 F f U f + L S f U j 7 f U j 7 R V q r 1 c P P h / 0 v 9 K H / 2 / X X f 8 f j S F 3 T r 7 4 4 s 3 v f / b m 9 I t v T n v t / W x o r / 9 X p f M 9 o v 1 I j / 1 I j 3 X 0 2 O 9 1 7 / P B O H L 3 / 0 1 6 7 P e O 6 L G Y D / b / B T 0 W m 4 k v X t z 7 7 i a 1 h l 9 9 b Y a B B n + z b s O n / P P n I k / G 2 N 6 k 1 o C h 9 9 c G F c f g j C B Y t W O F 4 S a t p b 8 F 2 k p / + 9 n W U h h j 8 P d 7 6 i y e x e 5 n t 9 B i 0 A q d T z y t t j O o 1 X a G t Z q 1 L z 8 M r e b / 5 T Q Z f m 7 S Y S I 5 A 7 7 Y 7 v + r I k n 9 F R p L f 4 W i w q / / b 1 V V 1 n u Q J b W z V y e v z j 7 I + 4 L z + c P Q U P j t / z 2 + V 0 C 9 H 7 l h P y d u 2 O 4 3 r 7 C + K T f s + c F 3 h t 2 w v f 9 X q b D / f w a U K p 9 v f h a 0 2 8 9 K h I n f / l + n 3 d 7 8 S L v 9 3 G m 3 v f 8 X q 7 d X P / F s Z 1 C 9 3 f u R c m P h + 6 a V G 6 e v S T V 9 k D 7 D T 5 s r + / + t n + Z I 9 S P l 9 X O i v I x + + m H q r t v q r q e v B q P L X c H 7 R 7 r r Q 3 T X X f 6 X O g E 2 r / h z 6 u X U K b J b p M t Y 6 w w 0 f P O M X G t p I O 1 o 8 E d n y 4 s 6 b 6 o m / Y 2 T 0 6 Y t F t m s S o + X 6 6 z U p m g T C 1 C / f f b 0 6 e k L k F V / A + I 8 S U f P a A 7 N 7 4 9 f H r 8 6 l Y T Y 0 1 d n z 5 + / f k N 8 f 0 T 6 x f v r 8 b e P X z 8 9 f X b 8 1 f M 3 T 7 8 8 + U o Y 5 e W L 4 y + Y v E + O X 5 8 + B U X f P P / y 8 y + D T 6 x O t Z + c f P n F y 7 O n 4 W u q n O 9 2 a P q z Q u K f e r X z o S R 2 X r I S 9 v e O k P h 1 n 8 S b J l 1 b 3 H o K u M / w k / + v T s m L T / d + r / 6 U H C 9 W Z Z F N i 2 q Z N 7 9 x M j w Z 9 7 7 Z y W D 2 i E z G 8 5 8 v k 3 F y u t + f j K 1 X + W w 9 l c m 4 s 2 k 2 9 n 8 0 G 9 / o b J y 9 / H K z a K T X p L O 8 2 d m g t u 5 / M 5 Z h I + 3 / P 2 w Z X r z c P d h o G b 6 o Z s V 5 M d 1 s G z 7 9 E Z E 3 E v k n T 1 5 v I L I x v l H S P u i Q l s l w e 5 L + / 9 W j + X L 3 y 5 N b k D S t 6 i h V D 7 5 R j S 3 z + / P Y m f n y w U 9 9 d 7 P G j s 7 C w 2 9 0 F o Q l f h 7 b z S 9 P n 0 Q C q c C L i U 0 D Y u Q f T c M 3 O A 2 / 1 4 t I s N V x X 7 x J i c 5 J N 6 B 9 T 7 X / / 1 d L + u V P / D 6 R q M m q f e e s R I n a D W F / R F Q h 6 u 9 9 H I l + L F G f 5 p f 5 8 g L G 9 M t X U b J + 3 W D 0 f c j 7 / y P 9 8 P L e 8 0 h 4 0 y d 3 l N b d U P N H L C w 0 / f x g k 4 f 9 K p 9 m 6 9 k G F u 5 F i T 9 i 4 Y 3 k f v h 7 b 4 o a L b m j t O 4 G i z 9 i Y a H p F 7 9 X J K L 5 3 d N Z n h 5 f Z s t p T r / 9 x k m Z G e p O i 3 / 0 b 1 1 G C f y B I e P / b w n 8 + i c j Q Y o L G d 9 N 8 1 m + b A c c s m 7 E + C O i C l F / 6 k E k 5 j i O a 9 l e v P f / 3 T T R X f 7 3 R J b R n h 2 f 4 M f x m 1 e y 0 M + / K P F 4 5 f r 4 8 2 e O m r r Q K 9 9 8 8 d W L x 3 f N J / L V G + n R R s m b w j P A j K 3 L / 2 y s 3 M o K q x D D D L I 7 2 p 1 n X 7 0 4 + f 1 p 0 o 7 j 4 z 1 9 d v b z Z r w 7 L 7 / 6 / Z / R g u t X T 3 Z / P g 3 5 9 Z t X v / / Z 0 2 9 i x P 9 f G D E z 9 c t X n / + 8 G u / p d 1 5 9 M + P 9 / P 8 j 4 3 3 9 5 p s Z 7 / 9 H 5 p d U 1 s + X 8 T o l v f f z Z c g 8 x V 9 8 + f N G R b s p v v f z Z c j i a v 0 8 c y 3 f n P 3 / T m s 9 f f 3 7 n 7 x 5 9 f P J z 9 o 0 4 m c n / 7 9 0 p m 8 e 8 v / v T N P g k J 9 8 9 V p F / J s Y 8 M 7 / + w d s 5 / j / d 7 Z p c M j I s l C q 5 e n p N z P i / w 9 M 8 r M v X p 2 + f v n l N z P e / w / M s I w X K b j / 3 w 0 5 N t q z 1 y c / e f z q x T c U I + 7 + v 3 u w 9 D F S s z 8 f x g r d / P T / n y 7 H p t H + / 8 / b + H n l Q A 9 F g 1 9 + Q 9 H g z v / b h 3 r y 7 P f 5 Z k b 6 / + p J 3 T n 5 6 v W b L 7 8 4 / Y Y y s f + v n t W d 4 5 e / / 5 f P f n / 5 8 p s Y 7 f + r Z 1 b E 9 d n / r 0 Z K 6 v b J 0 8 / f n A 2 o 4 p P j F 0 9 p L f f n 0 5 B P f + + X P 6 + G j M E + e / X l F z + v B v z m / 1 8 x 3 8 k X X 7 z 5 / c / e n H 4 R V 1 p n J 1 + + O P n 5 N O D T k 8 + / o U z V / 1 f G + + U P c 6 H 7 5 3 S 8 b J b O E A / t / 3 y Z Y j f k + z 9 f h s x q 6 8 3 J q 7 O f T w O m l b K f V 2 L 8 / 8 N A / 1 Z S / P + v t N W t h v z / r 1 W U m + T 4 5 f H / v + K H W 0 3 x / 7 / S k z f Z p l c / j 2 z T D k 3 w N 7 e 2 8 P / + 8 X K y k v r 5 + T T e s 5 O f R w w t S v r z 0 2 8 o 8 / 5 z M + C 7 / O / J 6 X M Z O / 8 i 7 X Y J 9 S / 3 3 r z 4 z u d f P n 2 z 8 3 v d + + o n T p 9 8 8 f K L L 3 / i 9 / m 9 H t 8 1 T b T t H g 8 z + p i 2 e 0 e P X 3 z 1 x e / / + u T 4 + S l Q w B 8 v X 5 2 e Y N z 2 9 8 e n X 7 z 8 9 v H r s 9 d M v + e n P 3 n 6 H L + d f P X F V / z L 8 + P P P 3 9 1 B K D y 2 + M X Z D J e g Z 7 y i 0 + 2 3 X v f F N 1 + r 7 O n e A E / h H L v Q a 4 v 3 j z 7 / P 8 T 5 N r 7 f w O 1 v j x 9 8 o 1 S i 7 n + m 6 P R 7 u 7 / G 4 j 0 8 o v f 6 + S b J N L P G k v t H v y / g V x f / N Q r S 4 J v g l z f M E / 9 v 0 J L v f z 8 4 P X / i 2 m 0 + + n / K 4 h 0 7 / m X 3 y S R f v b k 7 v 7 / G 8 j 1 4 i d P v l G e + l k j 1 / 8 r t N S L l 9 C W / x + g 1 o P / N 1 D r y 9 / 7 e P + b p N Y 3 r a / 2 / 1 9 B p A c / 9 d 3 / N x P J E O L n l E g v X / / k N 0 q k n z W 5 2 3 3 4 / w Z y v T h 7 + f 8 N G / j / D o / h p x 5 8 o + H M z x q 1 9 v 7 f I Y s P f + + D / 0 + Q a / f / F U b w x c n p / 5 u N 4 E 1 O 6 A + F R l / + X i / s u L 8 J G v 3 s s d T / O / I v u 1 9 + o 6 m F b 5 i l / t 9 h A j / d + 0 Y T o N 8 w j X 6 W X c + 7 / O / T V 2 f P G b O X r 1 6 + O T t 9 L b R 7 + e r L l 6 e v 5 G + 8 r A 8 c P Q D 5 y e P n X / H I 7 3 Y b b 3 h 5 b / d D X t 7 7 k J f v f c D L 9 z 5 k z P s f 9 P K H E G z f J x g z n P z 2 f k B 8 w n 1 N I L s 7 P g 3 A 6 V 8 H x g e Q Y n c n I M X u 1 0 P g A 1 h o d 2 f / G 0 D g / o c g 8 O m H v P w g Z I K I I v 2 9 P v 1 i / + u N 6 u B D E H s Y I P a 1 E N g N x e T r w f g Q 3 t j 9 B n h j 7 w O 0 z O 6 H q O W 9 D 5 f t / Z 0 P h 3 H / G 4 D x 8 J u B 4 R P z 6 O W q z c r x 2 f K i H m + n J 2 X W F O f j V + u J f P L 1 4 H e 0 e m y R 5 M W 9 7 3 4 t 2 A E X f c 3 x B 8 z 0 d W D s 4 v 8 b x / h T v / e D 4 0 / P n h 5 8 P d g 3 0 + / r 6 T L A D o z l T z 3 7 4 v f / 4 m T n a w g 0 Q A V K w Y D 6 / c 9 + Y u f r A v S t x 9 H x 0 5 / 8 z v H v 8 + L 4 H / 2 T v x 4 w 3 5 p 8 M L D Q u h z c 3 b l 3 d 2 9 n 9 9 O v B 8 w 3 J 0 c 7 u w Z Y u r v / a O f B o 3 t f k 2 k C O / M N C / V u x 6 v 2 S J D u 3 n 9 0 / 9 6 j r z n l u 4 E Y f e A s h W Z y d / / u z r 6 i + C l Q 3 P t 6 0 x U Y z q M f H 6 U 7 u 9 u n L 0 7 p 5 9 7 2 s 9 M n 9 P P e 9 h f H r + j n / v b x E / y 8 T 3 / / P v T z 0 + 3 v f P W C f j 6 g n 8 / p 5 3 D 3 d 2 1 c 8 5 P H r w Q b / u U n X x x / c f R T r 3 9 / E q 6 T k 6 e n L w k C P k E r i q H E E P N v j 3 / y 5 f G r 1 x Q q 0 R K Y + f X x 6 7 P P X 8 B W f v n y D U d 1 X 3 5 X f / z + p 7 8 3 f / L t s 8 + / b X 6 a z + j r N / 5 v v / / z 0 x d w O b y / u L 0 2 0 l 9 N K / / P x 9 9 + 9 f u Y V v y b b e T + e v y T 2 u I n z S d Q 8 P a P x 9 8 + f f 7 y 9 z / + y e M z j v 6 + e P 3 5 7 / + C g 8 W z L 5 9 8 5 8 U X U D p K F / 2 A R 3 f y B Y e X d y 0 Z 4 / T 8 4 q s X P 6 J n h J 5 M l 6 9 B z + P P n / 2 I n h F 6 M l 3 e n 5 5 n r 0 5 e n f 2 I o C F B d 0 6 + + O L N 7 3 / 2 5 v S L 3 9 8 n 0 n t Q d + f s 9 3 9 2 9 v q E V O + 9 m 4 l 7 1 i E u P u C f I P H R k z e P 7 + I n u j 1 i p w e / G H o f y d / 8 K 1 P t i B 0 G / s 1 O w J H 5 S J r 9 f 2 s u H B 3 f h / 6 v f / + T L 7 9 4 S f 8 8 P f 3 9 d 2 + e g i 5 / h 1 N w + h P e F M A L 6 s 6 B + c h N Q 5 z / j z 6 v J k V e L 6 v 0 t G m z W Z X O 8 v R 1 t a z q z F A / m J P 9 / 9 d O i i X u + 8 3 K y 9 / / 2 e 9 z e v z q 5 v l 4 e f v 5 I N / r f m c + 7 E c 3 z c f / l 2 R A C P c + 1 H 7 9 + z / 5 6 v X x z c T + e a b c i S i / / / G r 0 + M b i H m X / / 3 2 8 Y u n z x E e 3 y O O 0 j 8 e v 3 5 z / I Z + k H 1 4 + f v / x F e n r 3 4 f Y O j 9 9 f j s x c u v 3 n x B 4 n G E k M 7 + I W s R z 8 9 e M / o n X 7 3 6 v X 4 K v 7 x + 9 R T w E E R s k 3 u P N J h + 9 J g U 3 9 l P H v 1 e 9 I n 8 9 v j 1 V y 9 p e e X 1 6 9 / / C / r n + P N T C + 3 1 V 1 / w 8 s f v / + r L 7 7 7 G L I c f u O 9 P v n z + 1 R c v w i b m s 8 d f E Z 1 / / + O T N 2 c / e c r v A b L / m T b E x y 9 + / 5 N v E 9 P 8 / l + + k B 6 w h t j 5 y G 9 D b 7 4 G m b o f U Z v X b 1 5 9 d W J f 4 j b h R 3 4 b f m k 3 a C N w X n + b Z v H p l 7 S 8 d P r i D e j z 5 p j p 0 v n 4 W M k V f k z U l t a A S d k F Z Z X h p F L Y U N 7 b 0 z 8 9 Q K / P n v 7 + Z y + e n v 7 e T O 7 u Z 6 Y V L a X h w 2 d n v z d G 3 / / Q g H d v m m b + Z 6 Z V B F r w 4 W M M F r P w 4 n N Z s j v 9 r p 3 r s x c U P J 4 9 5 V 9 f v / j y D a 2 a v f l 9 W B q P i U i / D 8 3 H q z P k s v w / 0 Q c z 6 9 1 X p 8 T / r 0 n j E o d + 9 Z x + f n H 8 e / / + j I X 8 w n / / P u b v 3 4 f f k I Y U p j 5 7 h n 5 e / c R P 4 o f I U T f b o 9 L F P 3 7 / n z w 7 / a 5 t y n / 9 / m 9 U H 5 2 9 e E Y z + 8 T P P N m P H n 9 + + u K r F 2 c c e g + m 0 2 y b x 7 Q w + J x k 7 I u z N + m 7 p n i 0 L M r P P m r r d f 4 R + m H h O f u S F Z T + T v r n N f T H 2 f G T 5 6 c n X 7 5 4 c 3 z 2 4 p T 0 i P 3 1 9 x c l E o H 2 5 v f + / Y l 9 T k / e 4 P 3 f n 4 P 4 1 5 F m d 6 P w 7 7 5 6 / e r 3 f / 1 7 M y M T M X / y 7 C l / + q b z g X i 1 S E V I c / x F H J A t 8 i M Q 7 / T 5 K e T h 9 y d n i z 9 7 H G Q r 4 A / r B 7 + P v s S f k X k 5 N S + c L W f 5 O 9 B D f n n 8 k 1 m 5 7 s G W D 6 l N C D H W w a t T 4 u 1 X v / / x 6 9 e n X z x 5 / v t s 7 u b J 6 b v j 2 a x Y j t K f z O u m q J a f P b i 3 s z P m / 0 b p y b p s 1 3 X + 2 T J f t 3 V W j t K X 6 0 l Z T H + v / P p N 9 T Z f f v Z w 7 9 P s 0 7 2 d g + n k / P 7 B J J t 8 H T x P n h O m m 5 G c V o t x k 6 3 G k 2 K c t + N s m Z X X P 8 j r c Q b E x z S C s z Z f v M n f t a d l v s i X 7 X t h w Z J t Z n s z G k 9 f s l 9 8 e 9 i n v z f J w i 3 m m o b w e v e 7 u 0 9 f / O Q X D 4 + f f v V 7 P 9 j 9 v R 5 8 e f r 8 / n d 2 D p 6 + V 4 e v v 3 1 6 + m Z z X 0 g 0 5 k 3 V m O R j + i 6 l / G N d v V c / T 0 / h 9 P z + r 7 9 9 / P L m o X 3 x / P f 6 y Y f P 7 v / E / p u n 3 z 7 9 6 u H T 3 + f 4 O y 9 2 v v 3 l 3 o v 3 6 v I V d O / m v n 6 3 0 9 9 t 9 x H + e S / A T 8 9 e v 3 x + / P v 8 / t D I Z y e k 7 p + / O X 2 1 m S F Z p 7 w H 6 G d f v v r i + M 0 3 C x P 6 4 f d X B X G D + P z C s j 3 8 P d 4 t y v R S R f y j 3 f H O R 2 m + n F Y k Q B e f f b R u z 7 d 3 P / 3 o 9 / i F F + 3 h b 5 y g + e u 8 L r K y + E H u i V V K I J b N I 1 K v n 3 0 0 b 9 v V o 7 t 3 r 6 6 u x l f 3 x l V 9 Q f l c S p j / 3 l 8 8 f z 2 d 5 4 t s u 1 h S t L a c k v 4 1 b 8 1 u f u s j Q S B N g c K b 6 1 W O v 3 8 y I 1 Q m Z Y 7 P 7 p o P T a O z p 9 x E l f v v 7 + U Q u L l 8 b R o z N Q w E 0 m H c J P h Q B n 8 3 N n p 8 / V 5 8 d f z V m y + f n W 2 W x v e d 9 J P j l z C e 7 w 3 z r m + U j N 0 T Q 7 b Z q u 3 / L F q 1 / f c i 5 4 + s 2 v t g 8 f 8 S q 7 b 7 n Z / 6 S d L 2 + z 9 1 f O / + w f G z s / 0 X L 3 / y 9 / 7 u 6 Z v 3 U / 3 / r 7 R q P / V 7 f X f 3 q 4 N n + y e v H r x 6 / u 2 T z 9 / 8 J I 3 w x Y P f 6 / S 9 u r y N V T u B V T v 5 k V X 7 / 5 V V O 6 k Y V L v B q l H + 4 8 3 Z F 6 c 3 G T K M 5 U e W 7 E Z L t m e 6 + l m w Z H v v R c 4 f W b L 3 w e L / J Z b s / u n Z T 3 z 5 + / z e e 6 e f 3 v u J 7 3 7 n 5 D t n X 9 3 7 9 t 7 + 5 z u f v 1 e H / 6 + 0 Z P e + / P T s 4 M 3 v f e 8 7 L 1 4 d / z 6 v 7 l N u + f X x T z 1 9 8 / Q 7 7 9 X l b S z Z M S z Z 8 Y 8 s 2 f + v L N l 7 x W e 6 m v W j 4 O z r m r T P X 1 F K e t f 0 8 Q 3 Z M g P 0 P Q j 4 8 9 O I f V 4 X s / f q / m f T e r 0 5 f v X 5 q W S r B 7 r Y / d A u 3 s N A P v j i O 1 8 9 + P z V 7 / X p / q v n L 1 6 + + c 5 P 7 u + + e v q T v 9 f O T 7 1 X h 7 c w k O d r E v j 8 / c b x X v b w p 7 7 Y P z 2 7 / 9 X + 5 9 / + 9 N X L n Z 9 6 c u / 3 / q n f + 4 v 7 u y e v 3 6 v L W 9 v D s 9 / t 3 q f v B V m s 1 W b Q v / d 7 Q X z 9 5 S t a 5 a C l k R t E 5 P 2 g f v v s 9 N X x q 5 N v / z 4 / m 6 D Z z N L y L q 3 S n X 4 z B v z F 8 U + e f X 5 8 o y Z / T 4 y / S Y M D B v j q + f E 3 i d 7 T V 2 e 0 a P f 0 y + + + k N X h F z / 5 j W B K v u S 3 n 9 P / 3 8 j K 8 5 u v X p 3 S K v M X T 7 4 p B 4 7 m / Z Q 0 / M n p 7 / 9 7 n f 4 + 3 y i H n T w / e 0 k B + O n v v R n o s 6 + e P 3 9 9 9 l P v l / Q x s G + w m l 8 L 9 v H T 7 3 z 1 G h J x R n H p 8 a v T z V x y W z r T n 2 9 o l f X r e D d R b v v y 9 6 e F 8 t / / K b n H b 0 5 / / x d f g S F u 5 Y S / 5 y S + / v a X 3 y V m / o J 9 c P J V f n + x Z + a T b 2 Q s r 7 9 6 S e r n 9 e v f / w W t p j + n l e X 3 B 3 t X f 4 0 4 g H f t 6 v P r n 4 s l 8 j c G S 0 b t 1 a v f O / i b F v u P n z 8 n E j 9 9 d f z 5 7 0 8 I 0 C 9 f v q T h P a X B o i O e L v 6 F h t V 5 2 f 1 t g Z E 0 E y W / T b N 0 9 u b 3 / + L 4 5 N W X H i x G 8 h Z A 6 M 8 T T I c Z z d d H 5 4 v T 5 2 8 s m N d f H 4 4 K z + / / 3 S 9 f / V 5 P v v z y 9 / o a g z K U + e 4 T q G f 6 6 s X X R 8 e g 8 f u / J J e Y / n j 6 N f B 5 8 + 1 T u I T v / d 7 r N 7 8 P R Y F f v S S f l Q w B q U B / G D v v N Y w 3 5 G C 9 J u 3 / g W B + H J b O v c x / v t f r X 4 W v f / V e r 7 / 4 8 v f / 7 q t j X 2 R u S 0 k 7 i 5 3 h 3 / Z 9 V o 3 0 g R O U D + B w i 8 y Z z 0 w U f b 5 + f n b / 9 7 7 3 e 3 3 1 e u + r T 1 8 8 / M 5 P f f p 7 P f u 9 v v P d 7 7 4 X 8 J d k x c i W f d g 0 K x B + 4 + t Q i 5 Q 8 f O T X Z y 8 + J w a m O E o l 8 m v A + u r 1 K U k w Z f b J t J N b 9 C X p z t s q q b u h P g Y k s m V s f s g 0 H 0 G Z P 7 7 b / f S x j B 1 B 3 N F P P f v i 9 / / i Z G f 3 9 z / 7 C U r s P L 7 r f a X N 3 v w + L 0 + P f m K d 1 9 f m W / 7 k M b J v I r J H x O L e X 2 j 2 + e n R / w O 7 S v w d x Q U B A A = = < / A p p l i c a t i o n > 
</file>

<file path=customXml/itemProps1.xml><?xml version="1.0" encoding="utf-8"?>
<ds:datastoreItem xmlns:ds="http://schemas.openxmlformats.org/officeDocument/2006/customXml" ds:itemID="{FD6E3DD8-FFBC-4BB3-952E-19BCC24C93F3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Gasto POG</vt:lpstr>
      <vt:lpstr>Gasto CE</vt:lpstr>
      <vt:lpstr>Gasto CA</vt:lpstr>
      <vt:lpstr>Gasto CF</vt:lpstr>
      <vt:lpstr>fuente1</vt:lpstr>
      <vt:lpstr>fuente2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1.- Clasificación por Rubro de Ingresos</dc:title>
  <dc:creator>javier.ynoquio</dc:creator>
  <cp:lastModifiedBy>Martha</cp:lastModifiedBy>
  <cp:lastPrinted>2017-01-06T20:38:03Z</cp:lastPrinted>
  <dcterms:created xsi:type="dcterms:W3CDTF">2016-02-23T20:23:36Z</dcterms:created>
  <dcterms:modified xsi:type="dcterms:W3CDTF">2017-01-06T20:38:31Z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Ingresos Clasif. x Rubro</vt:lpwstr>
  </property>
  <property fmtid="{D5CDD505-2E9C-101B-9397-08002B2CF9AE}" pid="3" name="BExAnalyzer_OldName">
    <vt:lpwstr>1.- Clasificación por Rubro de Ingresos.xlsx</vt:lpwstr>
  </property>
</Properties>
</file>