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cienda\Portal Finanzas Públicas\II Trim 17\"/>
    </mc:Choice>
  </mc:AlternateContent>
  <bookViews>
    <workbookView xWindow="0" yWindow="0" windowWidth="20490" windowHeight="7755"/>
  </bookViews>
  <sheets>
    <sheet name="E_TG" sheetId="1" r:id="rId1"/>
    <sheet name="E_CP" sheetId="6" r:id="rId2"/>
    <sheet name="E_CF" sheetId="5" r:id="rId3"/>
    <sheet name="E_CF_LDF" sheetId="7" r:id="rId4"/>
    <sheet name="E_CA" sheetId="8" r:id="rId5"/>
    <sheet name="E_CA_LDF" sheetId="9" r:id="rId6"/>
    <sheet name="E_CyC" sheetId="12" r:id="rId7"/>
    <sheet name="E_CyC_LDF" sheetId="11" r:id="rId8"/>
    <sheet name="E_SP" sheetId="13" r:id="rId9"/>
    <sheet name="fuente1" sheetId="2" state="hidden" r:id="rId10"/>
    <sheet name="BExRepositorySheet" sheetId="4" state="veryHidden" r:id="rId11"/>
  </sheets>
  <externalReferences>
    <externalReference r:id="rId12"/>
  </externalReferences>
  <calcPr calcId="152511"/>
</workbook>
</file>

<file path=xl/calcChain.xml><?xml version="1.0" encoding="utf-8"?>
<calcChain xmlns="http://schemas.openxmlformats.org/spreadsheetml/2006/main">
  <c r="G1" i="11" l="1"/>
  <c r="J1" i="11" s="1"/>
  <c r="F1" i="11"/>
  <c r="H1" i="11" s="1"/>
  <c r="I1" i="11" l="1"/>
  <c r="G1" i="9" l="1"/>
  <c r="J1" i="9" s="1"/>
  <c r="F1" i="9"/>
  <c r="I1" i="9" l="1"/>
  <c r="A7" i="8" l="1"/>
  <c r="G1" i="8"/>
  <c r="J1" i="8" s="1"/>
  <c r="F1" i="8"/>
  <c r="H1" i="8" s="1"/>
  <c r="I1" i="8" l="1"/>
  <c r="G1" i="7" l="1"/>
  <c r="J1" i="7" s="1"/>
  <c r="F1" i="7"/>
  <c r="H1" i="7" s="1"/>
  <c r="I1" i="7" l="1"/>
  <c r="A7" i="5" l="1"/>
  <c r="G1" i="5"/>
  <c r="I1" i="5" s="1"/>
  <c r="F1" i="5"/>
  <c r="H1" i="5" s="1"/>
  <c r="J1" i="5" l="1"/>
  <c r="I14" i="1" l="1"/>
  <c r="I16" i="1"/>
  <c r="I18" i="1"/>
  <c r="I20" i="1"/>
  <c r="I24" i="1"/>
  <c r="I12" i="1"/>
  <c r="C6" i="2"/>
  <c r="AC4" i="2"/>
  <c r="J3" i="2"/>
  <c r="T6" i="2"/>
  <c r="AT4" i="2"/>
  <c r="AA3" i="2"/>
  <c r="H2" i="2"/>
  <c r="E6" i="2"/>
  <c r="AE4" i="2"/>
  <c r="L3" i="2"/>
  <c r="V6" i="2"/>
  <c r="C5" i="2"/>
  <c r="AC3" i="2"/>
  <c r="J2" i="2"/>
  <c r="AO4" i="2"/>
  <c r="AP4" i="2"/>
  <c r="AD5" i="2"/>
  <c r="O5" i="2"/>
  <c r="AQ6" i="2"/>
  <c r="X5" i="2"/>
  <c r="E4" i="2"/>
  <c r="AE2" i="2"/>
  <c r="AO5" i="2"/>
  <c r="V4" i="2"/>
  <c r="C3" i="2"/>
  <c r="AS6" i="2"/>
  <c r="Z5" i="2"/>
  <c r="G4" i="2"/>
  <c r="AC2" i="2"/>
  <c r="AQ5" i="2"/>
  <c r="X4" i="2"/>
  <c r="E3" i="2"/>
  <c r="G2" i="2"/>
  <c r="F3" i="2"/>
  <c r="W3" i="2"/>
  <c r="N5" i="2"/>
  <c r="AE5" i="2"/>
  <c r="F2" i="2"/>
  <c r="AJ5" i="2"/>
  <c r="Q4" i="2"/>
  <c r="AQ2" i="2"/>
  <c r="H6" i="2"/>
  <c r="AH4" i="2"/>
  <c r="O3" i="2"/>
  <c r="Y2" i="2"/>
  <c r="AL5" i="2"/>
  <c r="S4" i="2"/>
  <c r="AS2" i="2"/>
  <c r="J6" i="2"/>
  <c r="AJ4" i="2"/>
  <c r="Q3" i="2"/>
  <c r="AB5" i="2"/>
  <c r="C2" i="2"/>
  <c r="T2" i="2"/>
  <c r="AN3" i="2"/>
  <c r="AR4" i="2"/>
  <c r="AF5" i="2"/>
  <c r="M4" i="2"/>
  <c r="AM2" i="2"/>
  <c r="D6" i="2"/>
  <c r="AD4" i="2"/>
  <c r="K3" i="2"/>
  <c r="Q2" i="2"/>
  <c r="AH5" i="2"/>
  <c r="O4" i="2"/>
  <c r="AO2" i="2"/>
  <c r="F6" i="2"/>
  <c r="AF4" i="2"/>
  <c r="M3" i="2"/>
  <c r="S2" i="2"/>
  <c r="AL3" i="2"/>
  <c r="AM3" i="2"/>
  <c r="AA4" i="2"/>
  <c r="L4" i="2"/>
  <c r="AA6" i="2"/>
  <c r="H5" i="2"/>
  <c r="AH3" i="2"/>
  <c r="AR6" i="2"/>
  <c r="Y5" i="2"/>
  <c r="F4" i="2"/>
  <c r="AF2" i="2"/>
  <c r="AC6" i="2"/>
  <c r="J5" i="2"/>
  <c r="AJ3" i="2"/>
  <c r="AT6" i="2"/>
  <c r="AA5" i="2"/>
  <c r="H4" i="2"/>
  <c r="AH2" i="2"/>
  <c r="AD2" i="2"/>
  <c r="AF6" i="2"/>
  <c r="G3" i="2"/>
  <c r="K4" i="2"/>
  <c r="AB4" i="2"/>
  <c r="AM6" i="2"/>
  <c r="T5" i="2"/>
  <c r="AT3" i="2"/>
  <c r="W2" i="2"/>
  <c r="AK5" i="2"/>
  <c r="R4" i="2"/>
  <c r="AR2" i="2"/>
  <c r="AO6" i="2"/>
  <c r="V5" i="2"/>
  <c r="C4" i="2"/>
  <c r="U2" i="2"/>
  <c r="AM5" i="2"/>
  <c r="T4" i="2"/>
  <c r="AT2" i="2"/>
  <c r="L5" i="2"/>
  <c r="P6" i="2"/>
  <c r="AG6" i="2"/>
  <c r="H3" i="2"/>
  <c r="Y3" i="2"/>
  <c r="AI6" i="2"/>
  <c r="P5" i="2"/>
  <c r="AP3" i="2"/>
  <c r="K2" i="2"/>
  <c r="AG5" i="2"/>
  <c r="N4" i="2"/>
  <c r="AN2" i="2"/>
  <c r="AK6" i="2"/>
  <c r="R5" i="2"/>
  <c r="AR3" i="2"/>
  <c r="M2" i="2"/>
  <c r="AI5" i="2"/>
  <c r="P4" i="2"/>
  <c r="AP2" i="2"/>
  <c r="O6" i="2"/>
  <c r="AS4" i="2"/>
  <c r="AQ3" i="2"/>
  <c r="AB3" i="2"/>
  <c r="Z2" i="2"/>
  <c r="AJ2" i="2"/>
  <c r="I3" i="2"/>
  <c r="AK4" i="2"/>
  <c r="AB6" i="2"/>
  <c r="AI3" i="2"/>
  <c r="M6" i="2"/>
  <c r="T3" i="2"/>
  <c r="K5" i="2"/>
  <c r="R2" i="2"/>
  <c r="AC5" i="2"/>
  <c r="AK2" i="2"/>
  <c r="W6" i="2"/>
  <c r="AD3" i="2"/>
  <c r="U5" i="2"/>
  <c r="AB2" i="2"/>
  <c r="F5" i="2"/>
  <c r="AP6" i="2"/>
  <c r="D4" i="2"/>
  <c r="I4" i="2"/>
  <c r="AT5" i="2"/>
  <c r="V2" i="2"/>
  <c r="Z3" i="2"/>
  <c r="X2" i="2"/>
  <c r="AL6" i="2"/>
  <c r="AR5" i="2"/>
  <c r="I2" i="2"/>
  <c r="O2" i="2"/>
  <c r="U4" i="2"/>
  <c r="L6" i="2"/>
  <c r="S3" i="2"/>
  <c r="AP5" i="2"/>
  <c r="D3" i="2"/>
  <c r="AN4" i="2"/>
  <c r="B2" i="2"/>
  <c r="Z4" i="2"/>
  <c r="R6" i="2"/>
  <c r="G6" i="2"/>
  <c r="N3" i="2"/>
  <c r="E5" i="2"/>
  <c r="L2" i="2"/>
  <c r="AI4" i="2"/>
  <c r="Z6" i="2"/>
  <c r="AG3" i="2"/>
  <c r="V3" i="2"/>
  <c r="AQ4" i="2"/>
  <c r="AJ6" i="2"/>
  <c r="U6" i="2"/>
  <c r="S5" i="2"/>
  <c r="AI2" i="2"/>
  <c r="X3" i="2"/>
  <c r="K6" i="2"/>
  <c r="R3" i="2"/>
  <c r="I5" i="2"/>
  <c r="P2" i="2"/>
  <c r="AM4" i="2"/>
  <c r="AD6" i="2"/>
  <c r="AK3" i="2"/>
  <c r="AA2" i="2"/>
  <c r="D2" i="2"/>
  <c r="AO3" i="2"/>
  <c r="D5" i="2"/>
  <c r="AN6" i="2"/>
  <c r="B4" i="2"/>
  <c r="Y6" i="2"/>
  <c r="AF3" i="2"/>
  <c r="W5" i="2"/>
  <c r="N2" i="2"/>
  <c r="M5" i="2"/>
  <c r="E2" i="2"/>
  <c r="S6" i="2"/>
  <c r="Q5" i="2"/>
  <c r="B5" i="2"/>
  <c r="AS3" i="2"/>
  <c r="AS5" i="2"/>
  <c r="AH6" i="2"/>
  <c r="AN5" i="2"/>
  <c r="B3" i="2"/>
  <c r="AL4" i="2"/>
  <c r="AG2" i="2"/>
  <c r="W4" i="2"/>
  <c r="N6" i="2"/>
  <c r="U3" i="2"/>
  <c r="Y4" i="2"/>
  <c r="Q6" i="2"/>
  <c r="AL2" i="2"/>
  <c r="AG4" i="2"/>
  <c r="X6" i="2"/>
  <c r="AE3" i="2"/>
  <c r="I6" i="2"/>
  <c r="P3" i="2"/>
  <c r="G5" i="2"/>
  <c r="AE6" i="2"/>
  <c r="J4" i="2"/>
  <c r="B6" i="2"/>
  <c r="A7" i="1" l="1"/>
  <c r="G1" i="1"/>
  <c r="F1" i="1"/>
  <c r="H1" i="1" s="1"/>
  <c r="I1" i="1" l="1"/>
  <c r="J1" i="1"/>
</calcChain>
</file>

<file path=xl/comments1.xml><?xml version="1.0" encoding="utf-8"?>
<comments xmlns="http://schemas.openxmlformats.org/spreadsheetml/2006/main">
  <authors>
    <author>dora ramirez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dora ramirez:</t>
        </r>
        <r>
          <rPr>
            <sz val="9"/>
            <color indexed="81"/>
            <rFont val="Tahoma"/>
            <family val="2"/>
          </rPr>
          <t xml:space="preserve">
todos los conceptos COG en este apartado deben de contar con fuente de financiamiento diferente a 5</t>
        </r>
      </text>
    </comment>
  </commentList>
</comments>
</file>

<file path=xl/sharedStrings.xml><?xml version="1.0" encoding="utf-8"?>
<sst xmlns="http://schemas.openxmlformats.org/spreadsheetml/2006/main" count="734" uniqueCount="455">
  <si>
    <t>GOBIERNO DEL ESTADO DE SONORA</t>
  </si>
  <si>
    <t>Estado Analítico del Ejercicio del Presupuesto de Egresos</t>
  </si>
  <si>
    <t>COG</t>
  </si>
  <si>
    <t>Egresos</t>
  </si>
  <si>
    <t>Aprobado</t>
  </si>
  <si>
    <t>Ampliaciones y Reducciones</t>
  </si>
  <si>
    <t>Modificado</t>
  </si>
  <si>
    <t>Devengado</t>
  </si>
  <si>
    <t>Pagado</t>
  </si>
  <si>
    <t>3=(1+2)</t>
  </si>
  <si>
    <t>Participaciones</t>
  </si>
  <si>
    <t>Total del Gasto</t>
  </si>
  <si>
    <t xml:space="preserve">
Aprobado 1er Trim</t>
  </si>
  <si>
    <t xml:space="preserve">
Aprobado 2do Trim</t>
  </si>
  <si>
    <t xml:space="preserve">
Aprobado 3er Trim</t>
  </si>
  <si>
    <t xml:space="preserve">
Aprobado 4to Trim</t>
  </si>
  <si>
    <t xml:space="preserve">
Ampliaciones</t>
  </si>
  <si>
    <t xml:space="preserve">
(Reducciones)</t>
  </si>
  <si>
    <t xml:space="preserve">
Presupuesto Modificado</t>
  </si>
  <si>
    <t xml:space="preserve">
Presupuesto
Modificado 1er Trim</t>
  </si>
  <si>
    <t xml:space="preserve">
Presupuesto
Modificado 2do Trim</t>
  </si>
  <si>
    <t xml:space="preserve">
Presupuesto
Modificado 3er Trim</t>
  </si>
  <si>
    <t xml:space="preserve">
Presupuesto
Modificado 4to Trim</t>
  </si>
  <si>
    <t xml:space="preserve">
Pre Compromisos</t>
  </si>
  <si>
    <t xml:space="preserve">
Presupuesto Vigente
sin pre-compremeter</t>
  </si>
  <si>
    <t xml:space="preserve">
Comprometido</t>
  </si>
  <si>
    <t xml:space="preserve">
Pre-compromisos
sin comprometer</t>
  </si>
  <si>
    <t xml:space="preserve">
Presupuesto disponible
para comprometer
del período</t>
  </si>
  <si>
    <t xml:space="preserve">
Devengado</t>
  </si>
  <si>
    <t xml:space="preserve">
Devengado 1er Trim</t>
  </si>
  <si>
    <t xml:space="preserve">
Devengado 2do Trim</t>
  </si>
  <si>
    <t xml:space="preserve">
Devengado 3er Trim</t>
  </si>
  <si>
    <t xml:space="preserve">
Devengado 4to Trim</t>
  </si>
  <si>
    <t xml:space="preserve">
Compromisos
sin devengar</t>
  </si>
  <si>
    <t xml:space="preserve">
Presupuesto
vigente
sin devengar</t>
  </si>
  <si>
    <t xml:space="preserve">
Ejercido</t>
  </si>
  <si>
    <t xml:space="preserve">
Ejercido 1er Trim</t>
  </si>
  <si>
    <t xml:space="preserve">
Ejercido 2do Trim</t>
  </si>
  <si>
    <t xml:space="preserve">
Ejercido 3er Trim</t>
  </si>
  <si>
    <t xml:space="preserve">
Ejercido 4to Trim</t>
  </si>
  <si>
    <t xml:space="preserve">
Devengado 
sin ejercer</t>
  </si>
  <si>
    <t xml:space="preserve">
Pagado</t>
  </si>
  <si>
    <t xml:space="preserve">
Pagado 1er Trim</t>
  </si>
  <si>
    <t xml:space="preserve">
Pagado 2do Trim</t>
  </si>
  <si>
    <t xml:space="preserve">
Pagado 3er Trim</t>
  </si>
  <si>
    <t xml:space="preserve">
Pagado 4to Trim</t>
  </si>
  <si>
    <t xml:space="preserve">
Ejercido 
sin Pagar</t>
  </si>
  <si>
    <t xml:space="preserve">
Subejercicios</t>
  </si>
  <si>
    <t xml:space="preserve">
Presupuesto
Modificado Anual</t>
  </si>
  <si>
    <t xml:space="preserve">
Avance Devengado vs
Aprobado del Período</t>
  </si>
  <si>
    <t xml:space="preserve">
Avance Devengado vs
Aprobado Anual</t>
  </si>
  <si>
    <t xml:space="preserve">
Devengado
Ant</t>
  </si>
  <si>
    <t xml:space="preserve">
Variación 
    %</t>
  </si>
  <si>
    <t xml:space="preserve">
Variación 
Nominal</t>
  </si>
  <si>
    <t xml:space="preserve">
Variación 
    Real</t>
  </si>
  <si>
    <t xml:space="preserve">
Aprobado</t>
  </si>
  <si>
    <t xml:space="preserve">
Ampliaciones - Reducciones</t>
  </si>
  <si>
    <t>Tipo de Gasto</t>
  </si>
  <si>
    <t>1</t>
  </si>
  <si>
    <t>2</t>
  </si>
  <si>
    <t>3</t>
  </si>
  <si>
    <t>Gasto Corriente</t>
  </si>
  <si>
    <t>Gasto de Capital</t>
  </si>
  <si>
    <t>Amortización de la Deuda y Disminución de Pasivos</t>
  </si>
  <si>
    <t>Pensiones y jubilaciones</t>
  </si>
  <si>
    <t>Clasificación Económica (Tipo de Gasto)</t>
  </si>
  <si>
    <t>5</t>
  </si>
  <si>
    <t>4</t>
  </si>
  <si>
    <t>2017</t>
  </si>
  <si>
    <t>1..6</t>
  </si>
  <si>
    <t>28/07/2017 16:13:54</t>
  </si>
  <si>
    <t>Del 1 de Enero al 30 de Junio del 2017</t>
  </si>
  <si>
    <t>% de Avance</t>
  </si>
  <si>
    <t>6=(4/1*100)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</si>
  <si>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</si>
  <si>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</si>
  <si>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</si>
  <si>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</si>
  <si>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</si>
  <si>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</si>
  <si>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</si>
  <si>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</si>
  <si>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</si>
  <si>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</si>
  <si>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</si>
  <si>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</si>
  <si>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</si>
  <si>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</si>
  <si>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</si>
  <si>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</si>
  <si>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</si>
  <si>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</si>
  <si>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</si>
  <si>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</si>
  <si>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</si>
  <si>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</si>
  <si>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</si>
  <si>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</si>
  <si>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</si>
  <si>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</si>
  <si>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</si>
  <si>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</si>
  <si>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</si>
  <si>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Concepto</t>
  </si>
  <si>
    <t>Elaborado el 28 de Julio del 2017</t>
  </si>
  <si>
    <t>Gasto por Categoría Programática</t>
  </si>
  <si>
    <t>28/07/2017 16:13:55</t>
  </si>
  <si>
    <t>Clasificación Funcional</t>
  </si>
  <si>
    <t>Finalidad - Función</t>
  </si>
  <si>
    <t>GOBIERNO</t>
  </si>
  <si>
    <t>LEGISLACION</t>
  </si>
  <si>
    <t>JUSTICIA</t>
  </si>
  <si>
    <t>COORDINACION DE LA POLITICA DE GOBIERNO</t>
  </si>
  <si>
    <t>ASUNTOS FINANCIEROS Y HACENDARIOS</t>
  </si>
  <si>
    <t>ASUNTOS DE ÓRDEN PÚBLICO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</si>
  <si>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</si>
  <si>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</si>
  <si>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</si>
  <si>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</si>
  <si>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</si>
  <si>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</si>
  <si>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</si>
  <si>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</si>
  <si>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</si>
  <si>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</si>
  <si>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</si>
  <si>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</si>
  <si>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ENERGIA</t>
  </si>
  <si>
    <t>MINERÍA,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</si>
  <si>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</si>
  <si>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</si>
  <si>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</si>
  <si>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</si>
  <si>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</si>
  <si>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</si>
  <si>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</si>
  <si>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</si>
  <si>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</si>
  <si>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Estado Analítico del Ejercicio del Presupuesto de Egresos Detallado - LDF</t>
  </si>
  <si>
    <t>Clasificación Funcional (Finalidad y Función)</t>
  </si>
  <si>
    <t>(PESOS)</t>
  </si>
  <si>
    <t>Concepto (c)</t>
  </si>
  <si>
    <t>Clasificación funcional primeros 2 digitos</t>
  </si>
  <si>
    <t>Aprobado (d)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</si>
  <si>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</si>
  <si>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</si>
  <si>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</si>
  <si>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</si>
  <si>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</si>
  <si>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</si>
  <si>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</si>
  <si>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</si>
  <si>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</si>
  <si>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</si>
  <si>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</si>
  <si>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</si>
  <si>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</si>
  <si>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</si>
  <si>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</si>
  <si>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</si>
  <si>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</si>
  <si>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</si>
  <si>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</si>
  <si>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</si>
  <si>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</si>
  <si>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</si>
  <si>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</si>
  <si>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</si>
  <si>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</si>
  <si>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</si>
  <si>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</si>
  <si>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</si>
  <si>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</si>
  <si>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</si>
  <si>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</si>
  <si>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</si>
  <si>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</si>
  <si>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</si>
  <si>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</si>
  <si>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</si>
  <si>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</si>
  <si>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31/07/2017 10:08:42</t>
  </si>
  <si>
    <t>Clasificación Administrativa</t>
  </si>
  <si>
    <t>Dependencia</t>
  </si>
  <si>
    <t>H. CONGRESO DEL ESTADO</t>
  </si>
  <si>
    <t>SUPREMO TRIBUNAL DE JUSTICIA DEL ESTADO</t>
  </si>
  <si>
    <t>EJECUTIVO DEL ESTADO</t>
  </si>
  <si>
    <t>SECRETARIA DE GOBIERNO</t>
  </si>
  <si>
    <t>SECRETARIA DE HACIENDA</t>
  </si>
  <si>
    <t>SECRETARIA DE LA CONTRALORIA GENERAL</t>
  </si>
  <si>
    <t>SECRETARIA DE DESARROLLO SOCIAL</t>
  </si>
  <si>
    <t>SECRETARIA DE EDUCACION Y CULTURA</t>
  </si>
  <si>
    <t>SECRETARIA DE SALUD PUBLICA</t>
  </si>
  <si>
    <t>SECRETARIA DE INFRAESTRUCTURA Y DESARROLLO  URBANO</t>
  </si>
  <si>
    <t>SECRETARIA DE ECONOMIA</t>
  </si>
  <si>
    <t>SECRETARIA DE AGRICULTURA, GANADERIA, RECURSOS HIDRAULICOS, PESCA Y ACUACULTURA</t>
  </si>
  <si>
    <t>PROCURADURIA GENERAL DE JUSTICIA DEL ESTADO</t>
  </si>
  <si>
    <t>SECRETARIA EJECUTIVA DE SEGURIDAD PUBLICA</t>
  </si>
  <si>
    <t>TRIBUNAL DE LO CONTENCIOSO ADMINISTRATIVO</t>
  </si>
  <si>
    <t>SECRETARIA DEL TRABAJO</t>
  </si>
  <si>
    <t>TRIBUNAL ESTATAL ELECTORAL</t>
  </si>
  <si>
    <t>COMISION ESTATAL DE DERECHOS HUMANOS</t>
  </si>
  <si>
    <t>INSTITUTO SONORENSE DE TRANSPARENCIA, ACCESO A LA INFORMACION PUBLICA Y PROTECCION DE DATOS PERSONALES</t>
  </si>
  <si>
    <t>DESARROLLO MUNICIPAL</t>
  </si>
  <si>
    <t>DEUDA PUBLICA</t>
  </si>
  <si>
    <t>OFICIALIA MAYOR</t>
  </si>
  <si>
    <t/>
  </si>
  <si>
    <t>EROGACIONES NO SECTORIZABLES</t>
  </si>
  <si>
    <t>INSTITUTO  ESTATAL ELECTORAL Y DE PARTICIPACION  CIUDADANA</t>
  </si>
  <si>
    <t>UNIVERSIDAD DE SONORA</t>
  </si>
  <si>
    <t>CONSEJO CIUDADANO TRANSPORTE PUBLICO SUSTENTABLE DEL ESTADO DE SONORA</t>
  </si>
  <si>
    <t>SECRETARIA DE LA CONSEJERIA JURIDICA</t>
  </si>
  <si>
    <t>SECRETARIA TECNICA  Y ATENCION CIUDADANA</t>
  </si>
  <si>
    <t>INSTITUTO DE SEGURIDAD Y SERVICIOS SOCIALES DE LOS TRABAJADORES DEL ESTADO DE SONORA</t>
  </si>
  <si>
    <t>Del 01 de Enero al 30 de Junio 2017</t>
  </si>
  <si>
    <t>Cuenta SAP</t>
  </si>
  <si>
    <t>Ampliaciones/ (Reducciones)</t>
  </si>
  <si>
    <t>I. Gasto No Etiquetado</t>
  </si>
  <si>
    <t>(I=A+B+C+D+E+F+G+H+…+AB)</t>
  </si>
  <si>
    <t xml:space="preserve">    A.- H. CONGRESO DEL ESTADO</t>
  </si>
  <si>
    <t>101</t>
  </si>
  <si>
    <t xml:space="preserve">    B.- SUPREMO TRIBUNAL DE JUSTICIA DEL ESTADO</t>
  </si>
  <si>
    <t>102</t>
  </si>
  <si>
    <t xml:space="preserve">    C.- EJECUTIVO DEL ESTADO</t>
  </si>
  <si>
    <t>103</t>
  </si>
  <si>
    <t xml:space="preserve">    D.- SECRETARIA DE GOBIERNO</t>
  </si>
  <si>
    <t>104</t>
  </si>
  <si>
    <t xml:space="preserve">    E.- SECRETARIA DE HACIENDA</t>
  </si>
  <si>
    <t>105</t>
  </si>
  <si>
    <t xml:space="preserve">    F.- SECRETARIA DE LA CONTRALORIA GENERAL</t>
  </si>
  <si>
    <t>106</t>
  </si>
  <si>
    <t xml:space="preserve">    G.- SECRETARIA DE DESARROLLO SOCIAL</t>
  </si>
  <si>
    <t>107</t>
  </si>
  <si>
    <t xml:space="preserve">    H.- SECRETARIA DE EDUCACION Y CULTURA</t>
  </si>
  <si>
    <t>108</t>
  </si>
  <si>
    <t xml:space="preserve">    I.- SECRETARIA DE SALUD PUBLICA</t>
  </si>
  <si>
    <t>109</t>
  </si>
  <si>
    <t xml:space="preserve">    J.- SECRETARIA DE INFRAESTRUCTURA Y DESARROLLO  URBANO</t>
  </si>
  <si>
    <t>110</t>
  </si>
  <si>
    <t xml:space="preserve">    K.- SECRETARIA DE ECONOMIA</t>
  </si>
  <si>
    <t>111</t>
  </si>
  <si>
    <t xml:space="preserve">    L.- SECRETARIA DE AGRICULTURA, GANADERIA, RECURSOS HIDRAULICOS, PESCA Y ACUACULTURA</t>
  </si>
  <si>
    <t>112</t>
  </si>
  <si>
    <t xml:space="preserve">    M.- PROCURADURIA GENERAL DE JUSTICIA DEL ESTADO</t>
  </si>
  <si>
    <t>113</t>
  </si>
  <si>
    <t xml:space="preserve">    N.- SECRETARIA EJECUTIVA DE SEGURIDAD PUBLICA</t>
  </si>
  <si>
    <t>114</t>
  </si>
  <si>
    <t xml:space="preserve">    O.- TRIBUNAL DE LO CONTENCIOSO ADMINISTRATIVO</t>
  </si>
  <si>
    <t>115</t>
  </si>
  <si>
    <t xml:space="preserve">    P.- SECRETARIA DEL TRABAJO</t>
  </si>
  <si>
    <t>116</t>
  </si>
  <si>
    <t xml:space="preserve">   Q.- TRIBUNAL ESTATAL ELECTORAL</t>
  </si>
  <si>
    <t xml:space="preserve">   R.- COMISION ESTATAL DE DERECHOS HUMANOS</t>
  </si>
  <si>
    <t xml:space="preserve">   S.- INSTITUTO SONORENSE DE TRANSPARENCIA, ACCESO A LA INFORMACION PUBLICA Y PROTECCION DE DATOS PERSONALES</t>
  </si>
  <si>
    <t xml:space="preserve">    T.- DESARROLLO MUNICIPAL</t>
  </si>
  <si>
    <t>120</t>
  </si>
  <si>
    <t xml:space="preserve">    U.- DEUDA PUBLICA</t>
  </si>
  <si>
    <t>121</t>
  </si>
  <si>
    <t xml:space="preserve">    V.- OFICIALIA MAYOR</t>
  </si>
  <si>
    <t>122</t>
  </si>
  <si>
    <t xml:space="preserve">    W.- EROGACIONES NO SECTORIZABLES</t>
  </si>
  <si>
    <t>123</t>
  </si>
  <si>
    <t xml:space="preserve">    X.- INSTITUTO  ESTATAL ELECTORAL Y DE PARTICIPACION  CIUDADANA</t>
  </si>
  <si>
    <t xml:space="preserve">    Y.- UNIVERSIDAD DE SONORA</t>
  </si>
  <si>
    <t>125</t>
  </si>
  <si>
    <t xml:space="preserve">    Z.- CONSEJO CIUDADANO TRANSPORTE PUBLICO SUSTENTABLE DEL ESTADO DE SONORA</t>
  </si>
  <si>
    <t>126</t>
  </si>
  <si>
    <t xml:space="preserve"> AA.- SECRETARIA DE LA CONSEJERIA JURIDICA</t>
  </si>
  <si>
    <t>127</t>
  </si>
  <si>
    <t xml:space="preserve"> AB.-SECRETARIA TECNICA  Y ATENCION CIUDADANA</t>
  </si>
  <si>
    <t xml:space="preserve"> AC.- INSTITUTO DE SEGURIDAD Y SERVICIOS SOCIALES DE LOS TRABAJADORES DEL ESTADO DE SONORA</t>
  </si>
  <si>
    <t>172</t>
  </si>
  <si>
    <t>II. Gasto Etiquetado</t>
  </si>
  <si>
    <t>(II=A+B+C+D+E+F+G+H+…+AB)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</si>
  <si>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</si>
  <si>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</si>
  <si>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</si>
  <si>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</si>
  <si>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</si>
  <si>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</si>
  <si>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</si>
  <si>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</si>
  <si>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</si>
  <si>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</si>
  <si>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</si>
  <si>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</si>
  <si>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</si>
  <si>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</si>
  <si>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</si>
  <si>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</si>
  <si>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</si>
  <si>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</si>
  <si>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</si>
  <si>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</si>
  <si>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</si>
  <si>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</si>
  <si>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</si>
  <si>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</si>
  <si>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</si>
  <si>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</si>
  <si>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</si>
  <si>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</si>
  <si>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 y Equipo de Transporte</t>
  </si>
  <si>
    <t>Equipo e Instrumetal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</si>
  <si>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</si>
  <si>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</si>
  <si>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</si>
  <si>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</si>
  <si>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</si>
  <si>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</si>
  <si>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</si>
  <si>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</si>
  <si>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</si>
  <si>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</si>
  <si>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</si>
  <si>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</si>
  <si>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</si>
  <si>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</si>
  <si>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</si>
  <si>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</si>
  <si>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</si>
  <si>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</si>
  <si>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</si>
  <si>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</si>
  <si>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</si>
  <si>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</si>
  <si>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</si>
  <si>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</si>
  <si>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</si>
  <si>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</si>
  <si>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Lubricantes,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</si>
  <si>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</si>
  <si>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</si>
  <si>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</si>
  <si>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</si>
  <si>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</si>
  <si>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</si>
  <si>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</si>
  <si>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</si>
  <si>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</si>
  <si>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</si>
  <si>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</si>
  <si>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</si>
  <si>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</si>
  <si>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</si>
  <si>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6=4/1*100</t>
  </si>
  <si>
    <t>Clasificación por Objeto del Gasto (Capítulo y Concepto)</t>
  </si>
  <si>
    <t xml:space="preserve">Clasificación por Objeto del Gasto (Capítulo y Concepto)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</si>
  <si>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</si>
  <si>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</si>
  <si>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</si>
  <si>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</si>
  <si>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</si>
  <si>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</si>
  <si>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</si>
  <si>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</si>
  <si>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</si>
  <si>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</si>
  <si>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</si>
  <si>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</si>
  <si>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</si>
  <si>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</si>
  <si>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</si>
  <si>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</si>
  <si>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</si>
  <si>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</si>
  <si>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</si>
  <si>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</si>
  <si>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</si>
  <si>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</si>
  <si>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</si>
  <si>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</si>
  <si>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</si>
  <si>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</si>
  <si>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</si>
  <si>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</si>
  <si>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</si>
  <si>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</si>
  <si>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</si>
  <si>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</si>
  <si>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</si>
  <si>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</si>
  <si>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</si>
  <si>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</si>
  <si>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</si>
  <si>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</si>
  <si>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</si>
  <si>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</si>
  <si>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</si>
  <si>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</si>
  <si>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</si>
  <si>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</si>
  <si>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</si>
  <si>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</si>
  <si>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</si>
  <si>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</si>
  <si>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</si>
  <si>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</si>
  <si>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</si>
  <si>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</si>
  <si>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</si>
  <si>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</si>
  <si>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</si>
  <si>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</si>
  <si>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</si>
  <si>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</si>
  <si>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</si>
  <si>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</si>
  <si>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</si>
  <si>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</si>
  <si>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</si>
  <si>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</si>
  <si>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</si>
  <si>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</si>
  <si>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</si>
  <si>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</si>
  <si>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</si>
  <si>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</si>
  <si>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</si>
  <si>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</si>
  <si>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</si>
  <si>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</si>
  <si>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</si>
  <si>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</si>
  <si>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Clasificación de Servicios Personales por Categoría</t>
  </si>
  <si>
    <t>Del 1 de Enero al 31 de Junio de 2017</t>
  </si>
  <si>
    <t>Pesos</t>
  </si>
  <si>
    <t xml:space="preserve">Concepto </t>
  </si>
  <si>
    <t>% Avance</t>
  </si>
  <si>
    <t>I.</t>
  </si>
  <si>
    <t>Gasto No Etiquetado (I=A+B+C+D+E+F)</t>
  </si>
  <si>
    <t>A.</t>
  </si>
  <si>
    <t>Personal Administrativo y de Servicio Público</t>
  </si>
  <si>
    <t>B.</t>
  </si>
  <si>
    <t>Magisterio</t>
  </si>
  <si>
    <t>C.</t>
  </si>
  <si>
    <t>Servicios de Salud (C=c1+c2)</t>
  </si>
  <si>
    <t>c1) Personal Administrativo</t>
  </si>
  <si>
    <t>c2) Personal Médico, Paramédico y afín</t>
  </si>
  <si>
    <t>D.</t>
  </si>
  <si>
    <t>Seguridad Pública</t>
  </si>
  <si>
    <t>E.</t>
  </si>
  <si>
    <t>Gastos asociados a la implementación de nuevas leyes federales o reformas a las mismas</t>
  </si>
  <si>
    <t>(E = e1 + e2)</t>
  </si>
  <si>
    <t>e1) Implementación del Sistema de Justicia Penal (Seguridad Publica)</t>
  </si>
  <si>
    <t xml:space="preserve">e2) </t>
  </si>
  <si>
    <t>F.</t>
  </si>
  <si>
    <t>Sentencias laborales definitivas</t>
  </si>
  <si>
    <t>II.</t>
  </si>
  <si>
    <t>Gasto Etiquetado (II=A+B+C+D+E+F)</t>
  </si>
  <si>
    <t>e1) Nombre del Programa o Ley 1</t>
  </si>
  <si>
    <t>e2) Nombre del Programa o Ley 2</t>
  </si>
  <si>
    <t>III.</t>
  </si>
  <si>
    <t>Total del Gasto en Servicios Personales</t>
  </si>
  <si>
    <t>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</si>
</sst>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"/>
    <numFmt numFmtId="165" formatCode="#,##0.00;\-\ #,##0.00"/>
    <numFmt numFmtId="166" formatCode="#,##0.00000\ %;\-\ #,##0.00000\ %"/>
    <numFmt numFmtId="167" formatCode="#,##0.00\ &quot;MXN&quot;"/>
    <numFmt numFmtId="168" formatCode="#,##0.00\ %"/>
    <numFmt numFmtId="169" formatCode="#,##0.00000\ %"/>
    <numFmt numFmtId="170" formatCode="#,##0.0"/>
    <numFmt numFmtId="171" formatCode="_(* #,##0.00_);_(* \(#,##0.00\);_(* &quot;-&quot;??_);_(@_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4" fillId="0" borderId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6" fillId="6" borderId="16" applyNumberFormat="0" applyAlignment="0" applyProtection="0"/>
    <xf numFmtId="0" fontId="19" fillId="4" borderId="20" applyNumberFormat="0" applyAlignment="0" applyProtection="0"/>
    <xf numFmtId="0" fontId="12" fillId="4" borderId="16" applyNumberFormat="0" applyAlignment="0" applyProtection="0"/>
    <xf numFmtId="0" fontId="14" fillId="0" borderId="18" applyNumberFormat="0" applyFill="0" applyAlignment="0" applyProtection="0"/>
    <xf numFmtId="0" fontId="13" fillId="5" borderId="17" applyNumberFormat="0" applyAlignment="0" applyProtection="0"/>
    <xf numFmtId="0" fontId="29" fillId="0" borderId="0" applyNumberFormat="0" applyFill="0" applyBorder="0" applyAlignment="0" applyProtection="0"/>
    <xf numFmtId="0" fontId="4" fillId="8" borderId="19" applyNumberFormat="0" applyFont="0" applyAlignment="0" applyProtection="0"/>
    <xf numFmtId="0" fontId="30" fillId="0" borderId="0" applyNumberFormat="0" applyFill="0" applyBorder="0" applyAlignment="0" applyProtection="0"/>
    <xf numFmtId="0" fontId="33" fillId="0" borderId="27" applyNumberFormat="0" applyFill="0" applyAlignment="0" applyProtection="0"/>
    <xf numFmtId="4" fontId="20" fillId="9" borderId="21" applyNumberFormat="0" applyProtection="0">
      <alignment vertical="center"/>
    </xf>
    <xf numFmtId="4" fontId="21" fillId="9" borderId="21" applyNumberFormat="0" applyProtection="0">
      <alignment vertical="center"/>
    </xf>
    <xf numFmtId="4" fontId="20" fillId="9" borderId="21" applyNumberFormat="0" applyProtection="0">
      <alignment horizontal="left" vertical="center" indent="1"/>
    </xf>
    <xf numFmtId="0" fontId="20" fillId="9" borderId="21" applyNumberFormat="0" applyProtection="0">
      <alignment horizontal="left" vertical="top" indent="1"/>
    </xf>
    <xf numFmtId="4" fontId="20" fillId="10" borderId="0" applyNumberFormat="0" applyProtection="0">
      <alignment horizontal="left" vertical="center" indent="1"/>
    </xf>
    <xf numFmtId="4" fontId="22" fillId="11" borderId="21" applyNumberFormat="0" applyProtection="0">
      <alignment horizontal="right" vertical="center"/>
    </xf>
    <xf numFmtId="4" fontId="22" fillId="12" borderId="21" applyNumberFormat="0" applyProtection="0">
      <alignment horizontal="right" vertical="center"/>
    </xf>
    <xf numFmtId="4" fontId="22" fillId="1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5" borderId="21" applyNumberFormat="0" applyProtection="0">
      <alignment horizontal="right" vertical="center"/>
    </xf>
    <xf numFmtId="4" fontId="22" fillId="16" borderId="21" applyNumberFormat="0" applyProtection="0">
      <alignment horizontal="right" vertical="center"/>
    </xf>
    <xf numFmtId="4" fontId="22" fillId="17" borderId="21" applyNumberFormat="0" applyProtection="0">
      <alignment horizontal="right" vertical="center"/>
    </xf>
    <xf numFmtId="4" fontId="22" fillId="18" borderId="21" applyNumberFormat="0" applyProtection="0">
      <alignment horizontal="right" vertical="center"/>
    </xf>
    <xf numFmtId="4" fontId="22" fillId="19" borderId="21" applyNumberFormat="0" applyProtection="0">
      <alignment horizontal="right" vertical="center"/>
    </xf>
    <xf numFmtId="4" fontId="20" fillId="20" borderId="22" applyNumberFormat="0" applyProtection="0">
      <alignment horizontal="left" vertical="center" indent="1"/>
    </xf>
    <xf numFmtId="4" fontId="22" fillId="21" borderId="0" applyNumberFormat="0" applyProtection="0">
      <alignment horizontal="left" vertical="center" indent="1"/>
    </xf>
    <xf numFmtId="4" fontId="23" fillId="22" borderId="0" applyNumberFormat="0" applyProtection="0">
      <alignment horizontal="left" vertical="center" indent="1"/>
    </xf>
    <xf numFmtId="4" fontId="22" fillId="10" borderId="21" applyNumberFormat="0" applyProtection="0">
      <alignment horizontal="right" vertical="center"/>
    </xf>
    <xf numFmtId="4" fontId="24" fillId="21" borderId="0" applyNumberFormat="0" applyProtection="0">
      <alignment horizontal="left" vertical="center" indent="1"/>
    </xf>
    <xf numFmtId="4" fontId="24" fillId="10" borderId="0" applyNumberFormat="0" applyProtection="0">
      <alignment horizontal="left" vertical="center" indent="1"/>
    </xf>
    <xf numFmtId="0" fontId="4" fillId="22" borderId="21" applyNumberFormat="0" applyProtection="0">
      <alignment horizontal="left" vertical="center" indent="1"/>
    </xf>
    <xf numFmtId="0" fontId="4" fillId="22" borderId="21" applyNumberFormat="0" applyProtection="0">
      <alignment horizontal="left" vertical="top" indent="1"/>
    </xf>
    <xf numFmtId="0" fontId="4" fillId="10" borderId="21" applyNumberFormat="0" applyProtection="0">
      <alignment horizontal="left" vertical="center" indent="1"/>
    </xf>
    <xf numFmtId="0" fontId="4" fillId="10" borderId="21" applyNumberFormat="0" applyProtection="0">
      <alignment horizontal="left" vertical="top" indent="1"/>
    </xf>
    <xf numFmtId="0" fontId="4" fillId="23" borderId="21" applyNumberFormat="0" applyProtection="0">
      <alignment horizontal="left" vertical="center" indent="1"/>
    </xf>
    <xf numFmtId="0" fontId="4" fillId="23" borderId="21" applyNumberFormat="0" applyProtection="0">
      <alignment horizontal="left" vertical="top" indent="1"/>
    </xf>
    <xf numFmtId="0" fontId="4" fillId="21" borderId="21" applyNumberFormat="0" applyProtection="0">
      <alignment horizontal="left" vertical="center" indent="1"/>
    </xf>
    <xf numFmtId="0" fontId="4" fillId="21" borderId="21" applyNumberFormat="0" applyProtection="0">
      <alignment horizontal="left" vertical="top" indent="1"/>
    </xf>
    <xf numFmtId="0" fontId="4" fillId="24" borderId="23" applyNumberFormat="0">
      <protection locked="0"/>
    </xf>
    <xf numFmtId="4" fontId="22" fillId="25" borderId="21" applyNumberFormat="0" applyProtection="0">
      <alignment vertical="center"/>
    </xf>
    <xf numFmtId="4" fontId="25" fillId="25" borderId="21" applyNumberFormat="0" applyProtection="0">
      <alignment vertical="center"/>
    </xf>
    <xf numFmtId="4" fontId="22" fillId="25" borderId="21" applyNumberFormat="0" applyProtection="0">
      <alignment horizontal="left" vertical="center" indent="1"/>
    </xf>
    <xf numFmtId="0" fontId="22" fillId="25" borderId="21" applyNumberFormat="0" applyProtection="0">
      <alignment horizontal="left" vertical="top" indent="1"/>
    </xf>
    <xf numFmtId="4" fontId="22" fillId="21" borderId="21" applyNumberFormat="0" applyProtection="0">
      <alignment horizontal="right" vertical="center"/>
    </xf>
    <xf numFmtId="4" fontId="25" fillId="21" borderId="21" applyNumberFormat="0" applyProtection="0">
      <alignment horizontal="right" vertical="center"/>
    </xf>
    <xf numFmtId="4" fontId="22" fillId="10" borderId="21" applyNumberFormat="0" applyProtection="0">
      <alignment horizontal="left" vertical="center" indent="1"/>
    </xf>
    <xf numFmtId="0" fontId="22" fillId="10" borderId="21" applyNumberFormat="0" applyProtection="0">
      <alignment horizontal="left" vertical="top" indent="1"/>
    </xf>
    <xf numFmtId="4" fontId="26" fillId="26" borderId="0" applyNumberFormat="0" applyProtection="0">
      <alignment horizontal="left" vertical="center" indent="1"/>
    </xf>
    <xf numFmtId="4" fontId="27" fillId="21" borderId="2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" fillId="0" borderId="0"/>
    <xf numFmtId="4" fontId="22" fillId="21" borderId="0" applyNumberFormat="0" applyProtection="0">
      <alignment horizontal="left" vertical="center" indent="1"/>
    </xf>
    <xf numFmtId="4" fontId="22" fillId="1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" fontId="22" fillId="21" borderId="0" applyNumberFormat="0" applyProtection="0">
      <alignment horizontal="left" vertical="center" indent="1"/>
    </xf>
    <xf numFmtId="4" fontId="22" fillId="10" borderId="0" applyNumberFormat="0" applyProtection="0">
      <alignment horizontal="left" vertical="center" indent="1"/>
    </xf>
    <xf numFmtId="0" fontId="2" fillId="0" borderId="0"/>
    <xf numFmtId="0" fontId="2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</cellStyleXfs>
  <cellXfs count="416">
    <xf numFmtId="0" fontId="0" fillId="0" borderId="0" xfId="0"/>
    <xf numFmtId="0" fontId="3" fillId="2" borderId="1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/>
    </xf>
    <xf numFmtId="0" fontId="8" fillId="2" borderId="4" xfId="1" applyFont="1" applyFill="1" applyBorder="1"/>
    <xf numFmtId="0" fontId="8" fillId="2" borderId="0" xfId="1" applyFont="1" applyFill="1" applyBorder="1"/>
    <xf numFmtId="0" fontId="7" fillId="2" borderId="0" xfId="1" applyFont="1" applyFill="1" applyBorder="1" applyAlignment="1">
      <alignment horizontal="center"/>
    </xf>
    <xf numFmtId="164" fontId="8" fillId="2" borderId="15" xfId="1" applyNumberFormat="1" applyFont="1" applyFill="1" applyBorder="1"/>
    <xf numFmtId="164" fontId="8" fillId="2" borderId="5" xfId="1" applyNumberFormat="1" applyFont="1" applyFill="1" applyBorder="1"/>
    <xf numFmtId="0" fontId="4" fillId="2" borderId="4" xfId="1" applyFill="1" applyBorder="1"/>
    <xf numFmtId="0" fontId="4" fillId="2" borderId="0" xfId="1" applyFill="1" applyBorder="1"/>
    <xf numFmtId="0" fontId="9" fillId="2" borderId="0" xfId="1" applyFont="1" applyFill="1" applyBorder="1" applyAlignment="1">
      <alignment horizontal="center"/>
    </xf>
    <xf numFmtId="164" fontId="10" fillId="2" borderId="15" xfId="1" applyNumberFormat="1" applyFont="1" applyFill="1" applyBorder="1"/>
    <xf numFmtId="164" fontId="4" fillId="2" borderId="15" xfId="1" applyNumberFormat="1" applyFill="1" applyBorder="1"/>
    <xf numFmtId="0" fontId="4" fillId="2" borderId="9" xfId="1" applyFill="1" applyBorder="1"/>
    <xf numFmtId="0" fontId="3" fillId="2" borderId="10" xfId="1" applyFont="1" applyFill="1" applyBorder="1"/>
    <xf numFmtId="0" fontId="7" fillId="2" borderId="10" xfId="1" applyFont="1" applyFill="1" applyBorder="1" applyAlignment="1">
      <alignment horizontal="center"/>
    </xf>
    <xf numFmtId="0" fontId="22" fillId="10" borderId="21" xfId="53" quotePrefix="1" applyNumberFormat="1">
      <alignment horizontal="left" vertical="center" indent="1"/>
    </xf>
    <xf numFmtId="4" fontId="22" fillId="21" borderId="21" xfId="51" applyNumberFormat="1">
      <alignment horizontal="right" vertical="center"/>
    </xf>
    <xf numFmtId="3" fontId="22" fillId="21" borderId="21" xfId="51" applyNumberFormat="1">
      <alignment horizontal="right" vertical="center"/>
    </xf>
    <xf numFmtId="165" fontId="22" fillId="21" borderId="21" xfId="51" applyNumberFormat="1">
      <alignment horizontal="right" vertical="center"/>
    </xf>
    <xf numFmtId="166" fontId="22" fillId="21" borderId="21" xfId="51" applyNumberFormat="1">
      <alignment horizontal="right" vertical="center"/>
    </xf>
    <xf numFmtId="0" fontId="20" fillId="10" borderId="0" xfId="22" quotePrefix="1" applyNumberFormat="1" applyAlignment="1">
      <alignment horizontal="left" vertical="center" indent="1"/>
    </xf>
    <xf numFmtId="0" fontId="4" fillId="22" borderId="21" xfId="39" quotePrefix="1" applyAlignment="1">
      <alignment horizontal="left" vertical="top" wrapText="1" indent="1"/>
    </xf>
    <xf numFmtId="164" fontId="8" fillId="2" borderId="14" xfId="1" applyNumberFormat="1" applyFont="1" applyFill="1" applyBorder="1"/>
    <xf numFmtId="0" fontId="0" fillId="2" borderId="0" xfId="0" applyFill="1"/>
    <xf numFmtId="0" fontId="8" fillId="2" borderId="0" xfId="0" applyFont="1" applyFill="1" applyBorder="1"/>
    <xf numFmtId="0" fontId="3" fillId="2" borderId="0" xfId="61" applyFont="1" applyFill="1" applyBorder="1"/>
    <xf numFmtId="0" fontId="3" fillId="2" borderId="10" xfId="1" applyFont="1" applyFill="1" applyBorder="1" applyAlignment="1">
      <alignment horizontal="center"/>
    </xf>
    <xf numFmtId="0" fontId="34" fillId="2" borderId="0" xfId="0" quotePrefix="1" applyFont="1" applyFill="1" applyAlignment="1"/>
    <xf numFmtId="14" fontId="34" fillId="2" borderId="0" xfId="0" quotePrefix="1" applyNumberFormat="1" applyFont="1" applyFill="1" applyAlignment="1"/>
    <xf numFmtId="0" fontId="34" fillId="2" borderId="0" xfId="0" applyFont="1" applyFill="1"/>
    <xf numFmtId="167" fontId="22" fillId="21" borderId="21" xfId="51" applyNumberFormat="1">
      <alignment horizontal="right" vertical="center"/>
    </xf>
    <xf numFmtId="168" fontId="22" fillId="21" borderId="21" xfId="51" applyNumberFormat="1">
      <alignment horizontal="right" vertical="center"/>
    </xf>
    <xf numFmtId="169" fontId="22" fillId="21" borderId="21" xfId="51" applyNumberFormat="1">
      <alignment horizontal="right" vertical="center"/>
    </xf>
    <xf numFmtId="164" fontId="0" fillId="2" borderId="0" xfId="0" applyNumberFormat="1" applyFill="1"/>
    <xf numFmtId="0" fontId="3" fillId="2" borderId="11" xfId="1" applyFont="1" applyFill="1" applyBorder="1" applyAlignment="1">
      <alignment horizontal="center"/>
    </xf>
    <xf numFmtId="4" fontId="8" fillId="2" borderId="5" xfId="1" applyNumberFormat="1" applyFont="1" applyFill="1" applyBorder="1"/>
    <xf numFmtId="4" fontId="3" fillId="2" borderId="11" xfId="1" applyNumberFormat="1" applyFont="1" applyFill="1" applyBorder="1" applyAlignment="1">
      <alignment horizontal="right"/>
    </xf>
    <xf numFmtId="0" fontId="37" fillId="0" borderId="0" xfId="71" applyFont="1"/>
    <xf numFmtId="4" fontId="38" fillId="0" borderId="28" xfId="71" applyNumberFormat="1" applyFont="1" applyBorder="1"/>
    <xf numFmtId="4" fontId="38" fillId="0" borderId="29" xfId="71" applyNumberFormat="1" applyFont="1" applyBorder="1"/>
    <xf numFmtId="0" fontId="38" fillId="0" borderId="29" xfId="71" applyFont="1" applyBorder="1"/>
    <xf numFmtId="0" fontId="38" fillId="0" borderId="30" xfId="71" applyFont="1" applyBorder="1"/>
    <xf numFmtId="4" fontId="39" fillId="0" borderId="31" xfId="71" applyNumberFormat="1" applyFont="1" applyBorder="1"/>
    <xf numFmtId="4" fontId="39" fillId="0" borderId="0" xfId="71" applyNumberFormat="1" applyFont="1" applyBorder="1"/>
    <xf numFmtId="0" fontId="39" fillId="0" borderId="0" xfId="71" applyFont="1" applyBorder="1"/>
    <xf numFmtId="0" fontId="39" fillId="0" borderId="32" xfId="71" applyFont="1" applyBorder="1"/>
    <xf numFmtId="4" fontId="38" fillId="0" borderId="31" xfId="71" applyNumberFormat="1" applyFont="1" applyBorder="1"/>
    <xf numFmtId="4" fontId="38" fillId="0" borderId="0" xfId="71" applyNumberFormat="1" applyFont="1" applyBorder="1"/>
    <xf numFmtId="0" fontId="38" fillId="0" borderId="0" xfId="71" applyFont="1" applyBorder="1"/>
    <xf numFmtId="0" fontId="38" fillId="0" borderId="32" xfId="71" applyFont="1" applyBorder="1"/>
    <xf numFmtId="0" fontId="37" fillId="0" borderId="31" xfId="71" applyFont="1" applyBorder="1"/>
    <xf numFmtId="0" fontId="37" fillId="0" borderId="0" xfId="71" applyFont="1" applyBorder="1"/>
    <xf numFmtId="0" fontId="37" fillId="0" borderId="32" xfId="71" applyFont="1" applyBorder="1"/>
    <xf numFmtId="0" fontId="40" fillId="27" borderId="33" xfId="71" applyFont="1" applyFill="1" applyBorder="1" applyAlignment="1">
      <alignment horizontal="center" wrapText="1"/>
    </xf>
    <xf numFmtId="0" fontId="40" fillId="27" borderId="23" xfId="71" applyFont="1" applyFill="1" applyBorder="1" applyAlignment="1">
      <alignment horizontal="center" wrapText="1"/>
    </xf>
    <xf numFmtId="0" fontId="41" fillId="2" borderId="0" xfId="0" quotePrefix="1" applyFont="1" applyFill="1" applyAlignment="1"/>
    <xf numFmtId="14" fontId="41" fillId="2" borderId="0" xfId="0" quotePrefix="1" applyNumberFormat="1" applyFont="1" applyFill="1" applyAlignment="1">
      <alignment horizontal="left" wrapText="1"/>
    </xf>
    <xf numFmtId="0" fontId="41" fillId="2" borderId="0" xfId="0" applyFont="1" applyFill="1"/>
    <xf numFmtId="0" fontId="42" fillId="2" borderId="0" xfId="0" applyFont="1" applyFill="1"/>
    <xf numFmtId="0" fontId="43" fillId="27" borderId="12" xfId="1" applyFont="1" applyFill="1" applyBorder="1" applyAlignment="1">
      <alignment horizontal="center" vertical="center"/>
    </xf>
    <xf numFmtId="0" fontId="43" fillId="27" borderId="0" xfId="1" applyFont="1" applyFill="1" applyBorder="1" applyAlignment="1">
      <alignment horizontal="center" vertical="center" wrapText="1"/>
    </xf>
    <xf numFmtId="0" fontId="43" fillId="27" borderId="14" xfId="1" applyFont="1" applyFill="1" applyBorder="1" applyAlignment="1">
      <alignment horizontal="center"/>
    </xf>
    <xf numFmtId="0" fontId="43" fillId="27" borderId="10" xfId="1" applyFont="1" applyFill="1" applyBorder="1" applyAlignment="1">
      <alignment horizontal="center"/>
    </xf>
    <xf numFmtId="0" fontId="43" fillId="27" borderId="42" xfId="1" applyFont="1" applyFill="1" applyBorder="1" applyAlignment="1">
      <alignment horizontal="center"/>
    </xf>
    <xf numFmtId="0" fontId="43" fillId="2" borderId="32" xfId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horizontal="left" vertical="center" wrapText="1"/>
    </xf>
    <xf numFmtId="0" fontId="44" fillId="2" borderId="0" xfId="1" applyFont="1" applyFill="1" applyBorder="1" applyAlignment="1">
      <alignment horizontal="left" vertical="center" wrapText="1"/>
    </xf>
    <xf numFmtId="0" fontId="43" fillId="2" borderId="12" xfId="1" applyFont="1" applyFill="1" applyBorder="1" applyAlignment="1">
      <alignment horizontal="left"/>
    </xf>
    <xf numFmtId="0" fontId="43" fillId="2" borderId="0" xfId="1" applyFont="1" applyFill="1" applyBorder="1" applyAlignment="1">
      <alignment horizontal="left"/>
    </xf>
    <xf numFmtId="0" fontId="43" fillId="2" borderId="15" xfId="1" applyFont="1" applyFill="1" applyBorder="1" applyAlignment="1">
      <alignment horizontal="left"/>
    </xf>
    <xf numFmtId="0" fontId="43" fillId="2" borderId="31" xfId="1" applyFont="1" applyFill="1" applyBorder="1" applyAlignment="1">
      <alignment horizontal="left"/>
    </xf>
    <xf numFmtId="0" fontId="44" fillId="2" borderId="32" xfId="1" applyFont="1" applyFill="1" applyBorder="1" applyAlignment="1">
      <alignment horizontal="left"/>
    </xf>
    <xf numFmtId="0" fontId="44" fillId="2" borderId="0" xfId="1" applyFont="1" applyFill="1" applyBorder="1" applyAlignment="1">
      <alignment horizontal="left" wrapText="1"/>
    </xf>
    <xf numFmtId="0" fontId="44" fillId="2" borderId="0" xfId="1" applyFont="1" applyFill="1" applyBorder="1" applyAlignment="1">
      <alignment horizontal="left"/>
    </xf>
    <xf numFmtId="3" fontId="44" fillId="2" borderId="15" xfId="1" applyNumberFormat="1" applyFont="1" applyFill="1" applyBorder="1" applyAlignment="1">
      <alignment horizontal="right"/>
    </xf>
    <xf numFmtId="4" fontId="44" fillId="2" borderId="31" xfId="1" applyNumberFormat="1" applyFont="1" applyFill="1" applyBorder="1" applyAlignment="1">
      <alignment horizontal="right"/>
    </xf>
    <xf numFmtId="0" fontId="45" fillId="2" borderId="0" xfId="72" applyFont="1" applyFill="1" applyBorder="1" applyAlignment="1">
      <alignment horizontal="left" wrapText="1"/>
    </xf>
    <xf numFmtId="0" fontId="46" fillId="2" borderId="0" xfId="1" applyFont="1" applyFill="1" applyBorder="1" applyAlignment="1">
      <alignment horizontal="left"/>
    </xf>
    <xf numFmtId="3" fontId="46" fillId="2" borderId="15" xfId="1" applyNumberFormat="1" applyFont="1" applyFill="1" applyBorder="1" applyAlignment="1">
      <alignment horizontal="right"/>
    </xf>
    <xf numFmtId="0" fontId="45" fillId="2" borderId="0" xfId="72" applyFont="1" applyFill="1" applyAlignment="1">
      <alignment horizontal="left" wrapText="1"/>
    </xf>
    <xf numFmtId="4" fontId="44" fillId="2" borderId="5" xfId="1" applyNumberFormat="1" applyFont="1" applyFill="1" applyBorder="1" applyAlignment="1">
      <alignment horizontal="right"/>
    </xf>
    <xf numFmtId="0" fontId="46" fillId="2" borderId="4" xfId="1" applyFont="1" applyFill="1" applyBorder="1" applyAlignment="1">
      <alignment horizontal="left"/>
    </xf>
    <xf numFmtId="0" fontId="46" fillId="2" borderId="0" xfId="1" applyFont="1" applyFill="1" applyBorder="1" applyAlignment="1">
      <alignment horizontal="left" wrapText="1"/>
    </xf>
    <xf numFmtId="3" fontId="46" fillId="2" borderId="13" xfId="1" applyNumberFormat="1" applyFont="1" applyFill="1" applyBorder="1" applyAlignment="1">
      <alignment horizontal="right"/>
    </xf>
    <xf numFmtId="3" fontId="46" fillId="2" borderId="5" xfId="1" applyNumberFormat="1" applyFont="1" applyFill="1" applyBorder="1" applyAlignment="1">
      <alignment horizontal="right"/>
    </xf>
    <xf numFmtId="0" fontId="46" fillId="28" borderId="9" xfId="1" applyFont="1" applyFill="1" applyBorder="1" applyAlignment="1">
      <alignment horizontal="left"/>
    </xf>
    <xf numFmtId="0" fontId="43" fillId="28" borderId="10" xfId="1" applyFont="1" applyFill="1" applyBorder="1" applyAlignment="1">
      <alignment horizontal="left" wrapText="1"/>
    </xf>
    <xf numFmtId="0" fontId="44" fillId="28" borderId="10" xfId="1" applyFont="1" applyFill="1" applyBorder="1" applyAlignment="1">
      <alignment horizontal="left"/>
    </xf>
    <xf numFmtId="3" fontId="44" fillId="28" borderId="14" xfId="1" applyNumberFormat="1" applyFont="1" applyFill="1" applyBorder="1" applyAlignment="1">
      <alignment horizontal="right"/>
    </xf>
    <xf numFmtId="4" fontId="44" fillId="28" borderId="14" xfId="1" applyNumberFormat="1" applyFont="1" applyFill="1" applyBorder="1" applyAlignment="1">
      <alignment horizontal="right"/>
    </xf>
    <xf numFmtId="0" fontId="42" fillId="2" borderId="0" xfId="0" applyFont="1" applyFill="1" applyAlignment="1">
      <alignment horizontal="left" wrapText="1"/>
    </xf>
    <xf numFmtId="0" fontId="0" fillId="0" borderId="0" xfId="0" quotePrefix="1" applyAlignment="1"/>
    <xf numFmtId="0" fontId="0" fillId="0" borderId="0" xfId="0" applyAlignment="1">
      <alignment wrapText="1"/>
    </xf>
    <xf numFmtId="0" fontId="50" fillId="29" borderId="2" xfId="0" applyFont="1" applyFill="1" applyBorder="1" applyAlignment="1">
      <alignment horizontal="center" vertical="center"/>
    </xf>
    <xf numFmtId="0" fontId="50" fillId="29" borderId="8" xfId="0" applyFont="1" applyFill="1" applyBorder="1" applyAlignment="1">
      <alignment horizontal="center" vertical="center" wrapText="1"/>
    </xf>
    <xf numFmtId="0" fontId="51" fillId="30" borderId="12" xfId="0" applyFont="1" applyFill="1" applyBorder="1" applyAlignment="1">
      <alignment horizontal="left" vertical="center" wrapText="1"/>
    </xf>
    <xf numFmtId="0" fontId="51" fillId="0" borderId="5" xfId="0" applyFont="1" applyBorder="1" applyAlignment="1">
      <alignment horizontal="left" vertical="center" wrapText="1"/>
    </xf>
    <xf numFmtId="3" fontId="51" fillId="0" borderId="5" xfId="0" applyNumberFormat="1" applyFont="1" applyBorder="1" applyAlignment="1">
      <alignment horizontal="right" vertical="center"/>
    </xf>
    <xf numFmtId="4" fontId="50" fillId="0" borderId="5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left" vertical="center" wrapText="1"/>
    </xf>
    <xf numFmtId="0" fontId="52" fillId="29" borderId="2" xfId="0" applyFont="1" applyFill="1" applyBorder="1" applyAlignment="1">
      <alignment horizontal="center" vertical="center"/>
    </xf>
    <xf numFmtId="0" fontId="53" fillId="0" borderId="0" xfId="0" applyFont="1"/>
    <xf numFmtId="0" fontId="52" fillId="30" borderId="8" xfId="0" applyFont="1" applyFill="1" applyBorder="1" applyAlignment="1">
      <alignment horizontal="center" vertical="center"/>
    </xf>
    <xf numFmtId="0" fontId="52" fillId="28" borderId="8" xfId="0" applyFont="1" applyFill="1" applyBorder="1" applyAlignment="1">
      <alignment horizontal="center" vertical="center"/>
    </xf>
    <xf numFmtId="0" fontId="52" fillId="29" borderId="8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3" fontId="52" fillId="0" borderId="5" xfId="0" applyNumberFormat="1" applyFont="1" applyBorder="1" applyAlignment="1">
      <alignment horizontal="right" vertical="center" wrapText="1"/>
    </xf>
    <xf numFmtId="4" fontId="52" fillId="0" borderId="5" xfId="0" applyNumberFormat="1" applyFont="1" applyBorder="1" applyAlignment="1">
      <alignment horizontal="right" vertical="center" wrapText="1"/>
    </xf>
    <xf numFmtId="0" fontId="54" fillId="30" borderId="12" xfId="0" applyFont="1" applyFill="1" applyBorder="1" applyAlignment="1">
      <alignment horizontal="left" vertical="center" wrapText="1"/>
    </xf>
    <xf numFmtId="0" fontId="54" fillId="0" borderId="4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 wrapText="1"/>
    </xf>
    <xf numFmtId="3" fontId="54" fillId="0" borderId="5" xfId="0" applyNumberFormat="1" applyFont="1" applyBorder="1" applyAlignment="1">
      <alignment horizontal="right" vertical="center"/>
    </xf>
    <xf numFmtId="4" fontId="52" fillId="0" borderId="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/>
    </xf>
    <xf numFmtId="0" fontId="54" fillId="0" borderId="5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left" vertical="center"/>
    </xf>
    <xf numFmtId="3" fontId="54" fillId="0" borderId="8" xfId="0" applyNumberFormat="1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14" fontId="34" fillId="2" borderId="0" xfId="0" quotePrefix="1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55" fillId="2" borderId="12" xfId="1" applyFont="1" applyFill="1" applyBorder="1" applyAlignment="1">
      <alignment horizontal="center" vertical="center"/>
    </xf>
    <xf numFmtId="0" fontId="55" fillId="2" borderId="0" xfId="1" applyFont="1" applyFill="1" applyBorder="1" applyAlignment="1">
      <alignment horizontal="center" vertical="center" wrapText="1"/>
    </xf>
    <xf numFmtId="0" fontId="55" fillId="2" borderId="14" xfId="1" applyFont="1" applyFill="1" applyBorder="1" applyAlignment="1">
      <alignment horizontal="center"/>
    </xf>
    <xf numFmtId="0" fontId="55" fillId="2" borderId="10" xfId="1" applyFont="1" applyFill="1" applyBorder="1" applyAlignment="1">
      <alignment horizontal="center"/>
    </xf>
    <xf numFmtId="0" fontId="55" fillId="2" borderId="11" xfId="1" applyFont="1" applyFill="1" applyBorder="1" applyAlignment="1">
      <alignment horizontal="center"/>
    </xf>
    <xf numFmtId="0" fontId="55" fillId="2" borderId="4" xfId="1" applyFont="1" applyFill="1" applyBorder="1" applyAlignment="1">
      <alignment horizontal="center" vertical="center"/>
    </xf>
    <xf numFmtId="0" fontId="55" fillId="2" borderId="0" xfId="1" applyFont="1" applyFill="1" applyBorder="1" applyAlignment="1">
      <alignment horizontal="left" vertical="center" wrapText="1"/>
    </xf>
    <xf numFmtId="0" fontId="55" fillId="2" borderId="0" xfId="1" applyFont="1" applyFill="1" applyBorder="1" applyAlignment="1">
      <alignment horizontal="center" vertical="center"/>
    </xf>
    <xf numFmtId="0" fontId="55" fillId="2" borderId="12" xfId="1" applyFont="1" applyFill="1" applyBorder="1" applyAlignment="1">
      <alignment horizontal="center"/>
    </xf>
    <xf numFmtId="0" fontId="55" fillId="2" borderId="0" xfId="1" applyFont="1" applyFill="1" applyBorder="1" applyAlignment="1">
      <alignment horizontal="center"/>
    </xf>
    <xf numFmtId="0" fontId="55" fillId="2" borderId="15" xfId="1" applyFont="1" applyFill="1" applyBorder="1" applyAlignment="1">
      <alignment horizontal="center"/>
    </xf>
    <xf numFmtId="0" fontId="55" fillId="2" borderId="5" xfId="1" applyFont="1" applyFill="1" applyBorder="1" applyAlignment="1">
      <alignment horizontal="center"/>
    </xf>
    <xf numFmtId="0" fontId="56" fillId="2" borderId="4" xfId="1" applyFont="1" applyFill="1" applyBorder="1"/>
    <xf numFmtId="0" fontId="57" fillId="2" borderId="0" xfId="1" applyFont="1" applyFill="1" applyBorder="1" applyAlignment="1">
      <alignment horizontal="left" wrapText="1"/>
    </xf>
    <xf numFmtId="0" fontId="58" fillId="2" borderId="0" xfId="1" applyFont="1" applyFill="1" applyBorder="1" applyAlignment="1">
      <alignment horizontal="center"/>
    </xf>
    <xf numFmtId="3" fontId="57" fillId="2" borderId="15" xfId="1" applyNumberFormat="1" applyFont="1" applyFill="1" applyBorder="1"/>
    <xf numFmtId="4" fontId="57" fillId="2" borderId="5" xfId="1" applyNumberFormat="1" applyFont="1" applyFill="1" applyBorder="1"/>
    <xf numFmtId="0" fontId="56" fillId="2" borderId="0" xfId="1" applyFont="1" applyFill="1" applyBorder="1"/>
    <xf numFmtId="0" fontId="56" fillId="2" borderId="0" xfId="1" applyFont="1" applyFill="1" applyBorder="1" applyAlignment="1">
      <alignment horizontal="left" wrapText="1"/>
    </xf>
    <xf numFmtId="0" fontId="59" fillId="2" borderId="0" xfId="1" applyFont="1" applyFill="1" applyBorder="1" applyAlignment="1">
      <alignment horizontal="center"/>
    </xf>
    <xf numFmtId="3" fontId="56" fillId="2" borderId="15" xfId="1" applyNumberFormat="1" applyFont="1" applyFill="1" applyBorder="1"/>
    <xf numFmtId="4" fontId="56" fillId="2" borderId="5" xfId="1" applyNumberFormat="1" applyFont="1" applyFill="1" applyBorder="1"/>
    <xf numFmtId="0" fontId="57" fillId="2" borderId="9" xfId="1" applyFont="1" applyFill="1" applyBorder="1"/>
    <xf numFmtId="0" fontId="55" fillId="2" borderId="10" xfId="1" applyFont="1" applyFill="1" applyBorder="1" applyAlignment="1">
      <alignment horizontal="left" wrapText="1"/>
    </xf>
    <xf numFmtId="0" fontId="59" fillId="2" borderId="10" xfId="1" applyFont="1" applyFill="1" applyBorder="1" applyAlignment="1">
      <alignment horizontal="center"/>
    </xf>
    <xf numFmtId="3" fontId="56" fillId="2" borderId="14" xfId="1" applyNumberFormat="1" applyFont="1" applyFill="1" applyBorder="1"/>
    <xf numFmtId="4" fontId="56" fillId="2" borderId="14" xfId="1" applyNumberFormat="1" applyFont="1" applyFill="1" applyBorder="1"/>
    <xf numFmtId="0" fontId="0" fillId="0" borderId="0" xfId="0" quotePrefix="1" applyAlignment="1">
      <alignment horizontal="left" wrapText="1"/>
    </xf>
    <xf numFmtId="0" fontId="50" fillId="29" borderId="1" xfId="0" applyFont="1" applyFill="1" applyBorder="1" applyAlignment="1">
      <alignment horizontal="left" vertical="center" wrapText="1"/>
    </xf>
    <xf numFmtId="0" fontId="50" fillId="29" borderId="8" xfId="0" applyFont="1" applyFill="1" applyBorder="1" applyAlignment="1">
      <alignment horizontal="left" vertical="center" wrapText="1"/>
    </xf>
    <xf numFmtId="0" fontId="50" fillId="28" borderId="8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4" fontId="51" fillId="0" borderId="12" xfId="0" applyNumberFormat="1" applyFont="1" applyBorder="1" applyAlignment="1">
      <alignment horizontal="left" vertical="center" wrapText="1"/>
    </xf>
    <xf numFmtId="3" fontId="50" fillId="0" borderId="15" xfId="0" applyNumberFormat="1" applyFont="1" applyBorder="1" applyAlignment="1">
      <alignment horizontal="right" vertical="center" wrapText="1"/>
    </xf>
    <xf numFmtId="4" fontId="50" fillId="0" borderId="15" xfId="0" applyNumberFormat="1" applyFont="1" applyBorder="1" applyAlignment="1">
      <alignment horizontal="right" vertical="center" wrapText="1"/>
    </xf>
    <xf numFmtId="3" fontId="51" fillId="0" borderId="5" xfId="0" applyNumberFormat="1" applyFont="1" applyBorder="1" applyAlignment="1">
      <alignment horizontal="right" vertical="center" wrapText="1"/>
    </xf>
    <xf numFmtId="3" fontId="51" fillId="0" borderId="15" xfId="0" applyNumberFormat="1" applyFont="1" applyBorder="1" applyAlignment="1">
      <alignment horizontal="right" vertical="center" wrapText="1"/>
    </xf>
    <xf numFmtId="0" fontId="50" fillId="28" borderId="15" xfId="0" applyFont="1" applyFill="1" applyBorder="1" applyAlignment="1">
      <alignment horizontal="left" vertical="center" wrapText="1"/>
    </xf>
    <xf numFmtId="0" fontId="51" fillId="28" borderId="5" xfId="0" applyFont="1" applyFill="1" applyBorder="1" applyAlignment="1">
      <alignment horizontal="left" vertical="center" wrapText="1"/>
    </xf>
    <xf numFmtId="3" fontId="50" fillId="28" borderId="5" xfId="0" applyNumberFormat="1" applyFont="1" applyFill="1" applyBorder="1" applyAlignment="1">
      <alignment horizontal="right" vertical="center" wrapText="1"/>
    </xf>
    <xf numFmtId="4" fontId="50" fillId="28" borderId="15" xfId="0" applyNumberFormat="1" applyFont="1" applyFill="1" applyBorder="1" applyAlignment="1">
      <alignment horizontal="right" vertical="center" wrapText="1"/>
    </xf>
    <xf numFmtId="0" fontId="51" fillId="28" borderId="13" xfId="0" applyFont="1" applyFill="1" applyBorder="1" applyAlignment="1">
      <alignment horizontal="left" vertical="center" wrapText="1"/>
    </xf>
    <xf numFmtId="0" fontId="51" fillId="28" borderId="8" xfId="0" applyFont="1" applyFill="1" applyBorder="1" applyAlignment="1">
      <alignment horizontal="left" vertical="center" wrapText="1"/>
    </xf>
    <xf numFmtId="3" fontId="51" fillId="28" borderId="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  <xf numFmtId="0" fontId="37" fillId="2" borderId="0" xfId="71" applyFont="1" applyFill="1"/>
    <xf numFmtId="0" fontId="37" fillId="2" borderId="0" xfId="71" applyFont="1" applyFill="1" applyAlignment="1">
      <alignment horizontal="left" wrapText="1"/>
    </xf>
    <xf numFmtId="0" fontId="62" fillId="0" borderId="47" xfId="71" applyFont="1" applyBorder="1"/>
    <xf numFmtId="0" fontId="62" fillId="0" borderId="46" xfId="71" applyFont="1" applyBorder="1"/>
    <xf numFmtId="4" fontId="62" fillId="0" borderId="23" xfId="71" applyNumberFormat="1" applyFont="1" applyBorder="1"/>
    <xf numFmtId="0" fontId="63" fillId="0" borderId="0" xfId="71" applyFont="1"/>
    <xf numFmtId="0" fontId="64" fillId="2" borderId="52" xfId="1" applyFont="1" applyFill="1" applyBorder="1" applyAlignment="1">
      <alignment horizontal="center"/>
    </xf>
    <xf numFmtId="0" fontId="64" fillId="2" borderId="12" xfId="1" applyFont="1" applyFill="1" applyBorder="1" applyAlignment="1">
      <alignment horizontal="center" wrapText="1"/>
    </xf>
    <xf numFmtId="0" fontId="64" fillId="2" borderId="12" xfId="1" applyFont="1" applyFill="1" applyBorder="1" applyAlignment="1">
      <alignment horizontal="center"/>
    </xf>
    <xf numFmtId="0" fontId="64" fillId="2" borderId="1" xfId="1" applyFont="1" applyFill="1" applyBorder="1" applyAlignment="1">
      <alignment horizontal="center"/>
    </xf>
    <xf numFmtId="0" fontId="64" fillId="2" borderId="51" xfId="1" applyFont="1" applyFill="1" applyBorder="1" applyAlignment="1">
      <alignment horizontal="center" wrapText="1"/>
    </xf>
    <xf numFmtId="0" fontId="64" fillId="2" borderId="50" xfId="1" applyFont="1" applyFill="1" applyBorder="1" applyAlignment="1">
      <alignment horizontal="center"/>
    </xf>
    <xf numFmtId="0" fontId="64" fillId="2" borderId="49" xfId="1" applyFont="1" applyFill="1" applyBorder="1" applyAlignment="1">
      <alignment horizontal="center"/>
    </xf>
    <xf numFmtId="0" fontId="64" fillId="2" borderId="48" xfId="1" applyFont="1" applyFill="1" applyBorder="1" applyAlignment="1">
      <alignment horizontal="center"/>
    </xf>
    <xf numFmtId="0" fontId="64" fillId="2" borderId="28" xfId="1" applyFont="1" applyFill="1" applyBorder="1" applyAlignment="1">
      <alignment horizontal="center"/>
    </xf>
    <xf numFmtId="0" fontId="67" fillId="2" borderId="4" xfId="1" applyFont="1" applyFill="1" applyBorder="1"/>
    <xf numFmtId="0" fontId="67" fillId="2" borderId="0" xfId="1" applyFont="1" applyFill="1" applyBorder="1" applyAlignment="1">
      <alignment horizontal="left" wrapText="1"/>
    </xf>
    <xf numFmtId="0" fontId="67" fillId="2" borderId="0" xfId="1" applyFont="1" applyFill="1" applyBorder="1" applyAlignment="1">
      <alignment horizontal="center"/>
    </xf>
    <xf numFmtId="3" fontId="67" fillId="2" borderId="15" xfId="1" applyNumberFormat="1" applyFont="1" applyFill="1" applyBorder="1"/>
    <xf numFmtId="4" fontId="67" fillId="2" borderId="5" xfId="1" applyNumberFormat="1" applyFont="1" applyFill="1" applyBorder="1"/>
    <xf numFmtId="0" fontId="66" fillId="2" borderId="4" xfId="1" applyFont="1" applyFill="1" applyBorder="1"/>
    <xf numFmtId="3" fontId="66" fillId="2" borderId="15" xfId="1" applyNumberFormat="1" applyFont="1" applyFill="1" applyBorder="1"/>
    <xf numFmtId="0" fontId="66" fillId="2" borderId="0" xfId="1" applyFont="1" applyFill="1" applyBorder="1" applyAlignment="1">
      <alignment horizontal="left" wrapText="1"/>
    </xf>
    <xf numFmtId="0" fontId="65" fillId="0" borderId="5" xfId="71" applyFont="1" applyBorder="1" applyAlignment="1"/>
    <xf numFmtId="0" fontId="66" fillId="2" borderId="0" xfId="1" applyFont="1" applyFill="1" applyBorder="1"/>
    <xf numFmtId="0" fontId="66" fillId="2" borderId="0" xfId="1" applyFont="1" applyFill="1" applyBorder="1" applyAlignment="1">
      <alignment horizontal="center"/>
    </xf>
    <xf numFmtId="0" fontId="66" fillId="2" borderId="0" xfId="1" applyFont="1" applyFill="1" applyBorder="1" applyAlignment="1">
      <alignment horizontal="center" wrapText="1"/>
    </xf>
    <xf numFmtId="0" fontId="50" fillId="29" borderId="8" xfId="0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right" vertical="center"/>
    </xf>
    <xf numFmtId="0" fontId="51" fillId="0" borderId="4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/>
    </xf>
    <xf numFmtId="3" fontId="51" fillId="0" borderId="15" xfId="0" applyNumberFormat="1" applyFont="1" applyBorder="1" applyAlignment="1">
      <alignment horizontal="right" vertical="center"/>
    </xf>
    <xf numFmtId="0" fontId="57" fillId="0" borderId="0" xfId="0" applyFont="1"/>
    <xf numFmtId="0" fontId="51" fillId="0" borderId="13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0" fillId="28" borderId="15" xfId="0" applyFont="1" applyFill="1" applyBorder="1" applyAlignment="1">
      <alignment horizontal="left" vertical="center"/>
    </xf>
    <xf numFmtId="3" fontId="50" fillId="28" borderId="15" xfId="0" applyNumberFormat="1" applyFont="1" applyFill="1" applyBorder="1" applyAlignment="1">
      <alignment horizontal="right" vertical="center"/>
    </xf>
    <xf numFmtId="4" fontId="50" fillId="28" borderId="5" xfId="0" applyNumberFormat="1" applyFont="1" applyFill="1" applyBorder="1" applyAlignment="1">
      <alignment horizontal="right" vertical="center"/>
    </xf>
    <xf numFmtId="0" fontId="51" fillId="28" borderId="6" xfId="0" applyFont="1" applyFill="1" applyBorder="1" applyAlignment="1">
      <alignment horizontal="left" vertical="center" wrapText="1"/>
    </xf>
    <xf numFmtId="0" fontId="51" fillId="28" borderId="7" xfId="0" applyFont="1" applyFill="1" applyBorder="1" applyAlignment="1">
      <alignment horizontal="left" vertical="center" wrapText="1"/>
    </xf>
    <xf numFmtId="0" fontId="51" fillId="28" borderId="13" xfId="0" applyFont="1" applyFill="1" applyBorder="1" applyAlignment="1">
      <alignment horizontal="left" vertical="center"/>
    </xf>
    <xf numFmtId="3" fontId="51" fillId="28" borderId="13" xfId="0" applyNumberFormat="1" applyFont="1" applyFill="1" applyBorder="1" applyAlignment="1">
      <alignment horizontal="center" vertical="center"/>
    </xf>
    <xf numFmtId="3" fontId="51" fillId="28" borderId="8" xfId="0" applyNumberFormat="1" applyFont="1" applyFill="1" applyBorder="1" applyAlignment="1">
      <alignment horizontal="center" vertical="center"/>
    </xf>
    <xf numFmtId="170" fontId="51" fillId="28" borderId="8" xfId="0" applyNumberFormat="1" applyFont="1" applyFill="1" applyBorder="1" applyAlignment="1">
      <alignment horizontal="center" vertical="center"/>
    </xf>
    <xf numFmtId="0" fontId="71" fillId="27" borderId="23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vertical="center"/>
    </xf>
    <xf numFmtId="0" fontId="71" fillId="0" borderId="34" xfId="0" applyFont="1" applyBorder="1" applyAlignment="1">
      <alignment vertical="center" wrapText="1"/>
    </xf>
    <xf numFmtId="43" fontId="71" fillId="0" borderId="53" xfId="70" applyFont="1" applyBorder="1" applyAlignment="1">
      <alignment vertical="center" wrapText="1"/>
    </xf>
    <xf numFmtId="171" fontId="71" fillId="0" borderId="53" xfId="70" applyNumberFormat="1" applyFont="1" applyBorder="1" applyAlignment="1">
      <alignment horizontal="center" vertical="center" wrapText="1"/>
    </xf>
    <xf numFmtId="0" fontId="53" fillId="0" borderId="32" xfId="0" applyFont="1" applyBorder="1" applyAlignment="1">
      <alignment vertical="center"/>
    </xf>
    <xf numFmtId="0" fontId="53" fillId="0" borderId="31" xfId="0" applyFont="1" applyBorder="1" applyAlignment="1">
      <alignment vertical="center" wrapText="1"/>
    </xf>
    <xf numFmtId="43" fontId="53" fillId="0" borderId="54" xfId="70" applyFont="1" applyBorder="1" applyAlignment="1">
      <alignment vertical="center" wrapText="1"/>
    </xf>
    <xf numFmtId="43" fontId="53" fillId="0" borderId="54" xfId="7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71" fillId="0" borderId="32" xfId="0" applyFont="1" applyBorder="1" applyAlignment="1">
      <alignment vertical="center"/>
    </xf>
    <xf numFmtId="0" fontId="71" fillId="0" borderId="31" xfId="0" applyFont="1" applyBorder="1" applyAlignment="1">
      <alignment vertical="center" wrapText="1"/>
    </xf>
    <xf numFmtId="43" fontId="71" fillId="0" borderId="54" xfId="70" applyFont="1" applyBorder="1" applyAlignment="1">
      <alignment vertical="center" wrapText="1"/>
    </xf>
    <xf numFmtId="171" fontId="71" fillId="0" borderId="54" xfId="7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 wrapText="1"/>
    </xf>
    <xf numFmtId="43" fontId="0" fillId="0" borderId="33" xfId="70" applyFont="1" applyBorder="1" applyAlignment="1">
      <alignment vertical="center" wrapText="1"/>
    </xf>
    <xf numFmtId="43" fontId="0" fillId="0" borderId="33" xfId="7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40" fillId="27" borderId="36" xfId="71" applyFont="1" applyFill="1" applyBorder="1" applyAlignment="1">
      <alignment horizontal="center" vertical="center"/>
    </xf>
    <xf numFmtId="0" fontId="40" fillId="27" borderId="35" xfId="71" applyFont="1" applyFill="1" applyBorder="1" applyAlignment="1">
      <alignment horizontal="center" vertical="center"/>
    </xf>
    <xf numFmtId="0" fontId="40" fillId="27" borderId="34" xfId="71" applyFont="1" applyFill="1" applyBorder="1" applyAlignment="1">
      <alignment horizontal="center" vertical="center"/>
    </xf>
    <xf numFmtId="0" fontId="40" fillId="27" borderId="32" xfId="71" applyFont="1" applyFill="1" applyBorder="1" applyAlignment="1">
      <alignment horizontal="center" vertical="center"/>
    </xf>
    <xf numFmtId="0" fontId="40" fillId="27" borderId="0" xfId="71" applyFont="1" applyFill="1" applyBorder="1" applyAlignment="1">
      <alignment horizontal="center" vertical="center"/>
    </xf>
    <xf numFmtId="0" fontId="40" fillId="27" borderId="31" xfId="71" applyFont="1" applyFill="1" applyBorder="1" applyAlignment="1">
      <alignment horizontal="center" vertical="center"/>
    </xf>
    <xf numFmtId="0" fontId="40" fillId="27" borderId="30" xfId="71" applyFont="1" applyFill="1" applyBorder="1" applyAlignment="1">
      <alignment horizontal="center" vertical="center"/>
    </xf>
    <xf numFmtId="0" fontId="40" fillId="27" borderId="29" xfId="71" applyFont="1" applyFill="1" applyBorder="1" applyAlignment="1">
      <alignment horizontal="center" vertical="center"/>
    </xf>
    <xf numFmtId="0" fontId="40" fillId="27" borderId="28" xfId="71" applyFont="1" applyFill="1" applyBorder="1" applyAlignment="1">
      <alignment horizontal="center" vertical="center"/>
    </xf>
    <xf numFmtId="0" fontId="40" fillId="27" borderId="23" xfId="71" applyFont="1" applyFill="1" applyBorder="1" applyAlignment="1">
      <alignment horizontal="center"/>
    </xf>
    <xf numFmtId="0" fontId="37" fillId="0" borderId="23" xfId="71" applyFont="1" applyBorder="1" applyAlignment="1"/>
    <xf numFmtId="0" fontId="40" fillId="0" borderId="0" xfId="71" applyFont="1" applyAlignment="1">
      <alignment horizontal="center"/>
    </xf>
    <xf numFmtId="0" fontId="40" fillId="0" borderId="29" xfId="71" applyFont="1" applyBorder="1" applyAlignment="1">
      <alignment horizontal="center"/>
    </xf>
    <xf numFmtId="0" fontId="38" fillId="2" borderId="36" xfId="1" applyFont="1" applyFill="1" applyBorder="1" applyAlignment="1">
      <alignment horizontal="center"/>
    </xf>
    <xf numFmtId="0" fontId="38" fillId="2" borderId="35" xfId="1" applyFont="1" applyFill="1" applyBorder="1" applyAlignment="1">
      <alignment horizontal="center"/>
    </xf>
    <xf numFmtId="0" fontId="38" fillId="2" borderId="34" xfId="1" applyFont="1" applyFill="1" applyBorder="1" applyAlignment="1">
      <alignment horizontal="center"/>
    </xf>
    <xf numFmtId="0" fontId="38" fillId="2" borderId="32" xfId="1" applyFont="1" applyFill="1" applyBorder="1" applyAlignment="1">
      <alignment horizontal="center"/>
    </xf>
    <xf numFmtId="0" fontId="38" fillId="2" borderId="0" xfId="1" applyFont="1" applyFill="1" applyBorder="1" applyAlignment="1">
      <alignment horizontal="center"/>
    </xf>
    <xf numFmtId="0" fontId="38" fillId="2" borderId="31" xfId="1" applyFont="1" applyFill="1" applyBorder="1" applyAlignment="1">
      <alignment horizontal="center"/>
    </xf>
    <xf numFmtId="0" fontId="40" fillId="2" borderId="32" xfId="1" applyFont="1" applyFill="1" applyBorder="1" applyAlignment="1">
      <alignment horizontal="center" vertical="center"/>
    </xf>
    <xf numFmtId="0" fontId="40" fillId="2" borderId="0" xfId="1" applyFont="1" applyFill="1" applyBorder="1" applyAlignment="1">
      <alignment horizontal="center" vertical="center"/>
    </xf>
    <xf numFmtId="0" fontId="40" fillId="2" borderId="31" xfId="1" applyFont="1" applyFill="1" applyBorder="1" applyAlignment="1">
      <alignment horizontal="center" vertical="center"/>
    </xf>
    <xf numFmtId="0" fontId="40" fillId="2" borderId="37" xfId="1" applyFont="1" applyFill="1" applyBorder="1" applyAlignment="1">
      <alignment horizontal="center"/>
    </xf>
    <xf numFmtId="0" fontId="40" fillId="2" borderId="7" xfId="1" applyFont="1" applyFill="1" applyBorder="1" applyAlignment="1">
      <alignment horizontal="center"/>
    </xf>
    <xf numFmtId="0" fontId="40" fillId="2" borderId="38" xfId="1" applyFont="1" applyFill="1" applyBorder="1" applyAlignment="1">
      <alignment horizontal="center"/>
    </xf>
    <xf numFmtId="0" fontId="43" fillId="27" borderId="39" xfId="1" applyFont="1" applyFill="1" applyBorder="1" applyAlignment="1">
      <alignment horizontal="center" vertical="center"/>
    </xf>
    <xf numFmtId="0" fontId="43" fillId="27" borderId="2" xfId="1" applyFont="1" applyFill="1" applyBorder="1" applyAlignment="1">
      <alignment horizontal="center" vertical="center"/>
    </xf>
    <xf numFmtId="0" fontId="43" fillId="27" borderId="32" xfId="1" applyFont="1" applyFill="1" applyBorder="1" applyAlignment="1">
      <alignment horizontal="center" vertical="center"/>
    </xf>
    <xf numFmtId="0" fontId="43" fillId="27" borderId="0" xfId="1" applyFont="1" applyFill="1" applyBorder="1" applyAlignment="1">
      <alignment horizontal="center" vertical="center"/>
    </xf>
    <xf numFmtId="0" fontId="43" fillId="27" borderId="37" xfId="1" applyFont="1" applyFill="1" applyBorder="1" applyAlignment="1">
      <alignment horizontal="center" vertical="center"/>
    </xf>
    <xf numFmtId="0" fontId="43" fillId="27" borderId="7" xfId="1" applyFont="1" applyFill="1" applyBorder="1" applyAlignment="1">
      <alignment horizontal="center" vertical="center"/>
    </xf>
    <xf numFmtId="0" fontId="44" fillId="27" borderId="3" xfId="1" applyFont="1" applyFill="1" applyBorder="1" applyAlignment="1">
      <alignment horizontal="center" vertical="center" wrapText="1"/>
    </xf>
    <xf numFmtId="0" fontId="44" fillId="27" borderId="5" xfId="1" applyFont="1" applyFill="1" applyBorder="1" applyAlignment="1">
      <alignment horizontal="center" vertical="center" wrapText="1"/>
    </xf>
    <xf numFmtId="0" fontId="44" fillId="27" borderId="8" xfId="1" applyFont="1" applyFill="1" applyBorder="1" applyAlignment="1">
      <alignment horizontal="center" vertical="center" wrapText="1"/>
    </xf>
    <xf numFmtId="0" fontId="43" fillId="27" borderId="9" xfId="1" applyFont="1" applyFill="1" applyBorder="1" applyAlignment="1">
      <alignment horizontal="center"/>
    </xf>
    <xf numFmtId="0" fontId="43" fillId="27" borderId="10" xfId="1" applyFont="1" applyFill="1" applyBorder="1" applyAlignment="1">
      <alignment horizontal="center"/>
    </xf>
    <xf numFmtId="0" fontId="43" fillId="27" borderId="11" xfId="1" applyFont="1" applyFill="1" applyBorder="1" applyAlignment="1">
      <alignment horizontal="center"/>
    </xf>
    <xf numFmtId="0" fontId="43" fillId="27" borderId="40" xfId="1" applyFont="1" applyFill="1" applyBorder="1" applyAlignment="1">
      <alignment horizontal="center" vertical="center" wrapText="1"/>
    </xf>
    <xf numFmtId="0" fontId="43" fillId="27" borderId="41" xfId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 wrapText="1"/>
    </xf>
    <xf numFmtId="0" fontId="53" fillId="0" borderId="0" xfId="0" applyFont="1" applyFill="1" applyAlignment="1">
      <alignment horizontal="center" wrapText="1"/>
    </xf>
    <xf numFmtId="0" fontId="52" fillId="0" borderId="1" xfId="0" applyFont="1" applyBorder="1" applyAlignment="1">
      <alignment horizontal="justify" vertical="center" wrapText="1"/>
    </xf>
    <xf numFmtId="0" fontId="52" fillId="0" borderId="43" xfId="0" applyFont="1" applyBorder="1" applyAlignment="1">
      <alignment horizontal="justify" vertical="center" wrapText="1"/>
    </xf>
    <xf numFmtId="0" fontId="52" fillId="0" borderId="44" xfId="0" applyFont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52" fillId="29" borderId="1" xfId="0" applyFont="1" applyFill="1" applyBorder="1" applyAlignment="1">
      <alignment horizontal="center" vertical="center"/>
    </xf>
    <xf numFmtId="0" fontId="52" fillId="29" borderId="3" xfId="0" applyFont="1" applyFill="1" applyBorder="1" applyAlignment="1">
      <alignment horizontal="center" vertical="center"/>
    </xf>
    <xf numFmtId="0" fontId="52" fillId="29" borderId="6" xfId="0" applyFont="1" applyFill="1" applyBorder="1" applyAlignment="1">
      <alignment horizontal="center" vertical="center"/>
    </xf>
    <xf numFmtId="0" fontId="52" fillId="29" borderId="8" xfId="0" applyFont="1" applyFill="1" applyBorder="1" applyAlignment="1">
      <alignment horizontal="center" vertical="center"/>
    </xf>
    <xf numFmtId="0" fontId="52" fillId="29" borderId="9" xfId="0" applyFont="1" applyFill="1" applyBorder="1" applyAlignment="1">
      <alignment horizontal="center" vertical="center" wrapText="1"/>
    </xf>
    <xf numFmtId="0" fontId="52" fillId="29" borderId="10" xfId="0" applyFont="1" applyFill="1" applyBorder="1" applyAlignment="1">
      <alignment horizontal="center" vertical="center" wrapText="1"/>
    </xf>
    <xf numFmtId="0" fontId="52" fillId="29" borderId="11" xfId="0" applyFont="1" applyFill="1" applyBorder="1" applyAlignment="1">
      <alignment horizontal="center" vertical="center" wrapText="1"/>
    </xf>
    <xf numFmtId="0" fontId="52" fillId="29" borderId="12" xfId="0" applyFont="1" applyFill="1" applyBorder="1" applyAlignment="1">
      <alignment horizontal="center" vertical="center" wrapText="1"/>
    </xf>
    <xf numFmtId="0" fontId="52" fillId="29" borderId="13" xfId="0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/>
    </xf>
    <xf numFmtId="0" fontId="55" fillId="2" borderId="2" xfId="1" applyFont="1" applyFill="1" applyBorder="1" applyAlignment="1">
      <alignment horizontal="center" vertical="center"/>
    </xf>
    <xf numFmtId="0" fontId="55" fillId="2" borderId="3" xfId="1" applyFont="1" applyFill="1" applyBorder="1" applyAlignment="1">
      <alignment horizontal="center" vertical="center"/>
    </xf>
    <xf numFmtId="0" fontId="55" fillId="2" borderId="4" xfId="1" applyFont="1" applyFill="1" applyBorder="1" applyAlignment="1">
      <alignment horizontal="center" vertical="center"/>
    </xf>
    <xf numFmtId="0" fontId="55" fillId="2" borderId="0" xfId="1" applyFont="1" applyFill="1" applyBorder="1" applyAlignment="1">
      <alignment horizontal="center" vertical="center"/>
    </xf>
    <xf numFmtId="0" fontId="55" fillId="2" borderId="5" xfId="1" applyFont="1" applyFill="1" applyBorder="1" applyAlignment="1">
      <alignment horizontal="center" vertical="center"/>
    </xf>
    <xf numFmtId="0" fontId="55" fillId="2" borderId="6" xfId="1" applyFont="1" applyFill="1" applyBorder="1" applyAlignment="1">
      <alignment horizontal="center" vertical="center"/>
    </xf>
    <xf numFmtId="0" fontId="55" fillId="2" borderId="7" xfId="1" applyFont="1" applyFill="1" applyBorder="1" applyAlignment="1">
      <alignment horizontal="center" vertical="center"/>
    </xf>
    <xf numFmtId="0" fontId="55" fillId="2" borderId="8" xfId="1" applyFont="1" applyFill="1" applyBorder="1" applyAlignment="1">
      <alignment horizontal="center" vertical="center"/>
    </xf>
    <xf numFmtId="0" fontId="55" fillId="2" borderId="9" xfId="1" applyFont="1" applyFill="1" applyBorder="1" applyAlignment="1">
      <alignment horizontal="center"/>
    </xf>
    <xf numFmtId="0" fontId="55" fillId="2" borderId="10" xfId="1" applyFont="1" applyFill="1" applyBorder="1" applyAlignment="1">
      <alignment horizontal="center"/>
    </xf>
    <xf numFmtId="0" fontId="55" fillId="2" borderId="11" xfId="1" applyFont="1" applyFill="1" applyBorder="1" applyAlignment="1">
      <alignment horizontal="center"/>
    </xf>
    <xf numFmtId="0" fontId="55" fillId="2" borderId="12" xfId="1" applyFont="1" applyFill="1" applyBorder="1" applyAlignment="1">
      <alignment horizontal="center" vertical="center" wrapText="1"/>
    </xf>
    <xf numFmtId="0" fontId="55" fillId="2" borderId="13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50" fillId="29" borderId="12" xfId="0" applyFont="1" applyFill="1" applyBorder="1" applyAlignment="1">
      <alignment horizontal="left" vertical="center" wrapText="1"/>
    </xf>
    <xf numFmtId="0" fontId="50" fillId="29" borderId="13" xfId="0" applyFont="1" applyFill="1" applyBorder="1" applyAlignment="1">
      <alignment horizontal="left" vertical="center" wrapText="1"/>
    </xf>
    <xf numFmtId="0" fontId="50" fillId="29" borderId="9" xfId="0" applyFont="1" applyFill="1" applyBorder="1" applyAlignment="1">
      <alignment horizontal="left" vertical="center" wrapText="1"/>
    </xf>
    <xf numFmtId="0" fontId="50" fillId="29" borderId="10" xfId="0" applyFont="1" applyFill="1" applyBorder="1" applyAlignment="1">
      <alignment horizontal="left" vertical="center" wrapText="1"/>
    </xf>
    <xf numFmtId="0" fontId="50" fillId="29" borderId="1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66" fillId="2" borderId="0" xfId="1" applyFont="1" applyFill="1" applyBorder="1" applyAlignment="1">
      <alignment horizontal="left" wrapText="1"/>
    </xf>
    <xf numFmtId="0" fontId="65" fillId="0" borderId="5" xfId="71" applyFont="1" applyBorder="1" applyAlignment="1"/>
    <xf numFmtId="0" fontId="60" fillId="2" borderId="0" xfId="1" applyFont="1" applyFill="1" applyBorder="1" applyAlignment="1">
      <alignment horizontal="center"/>
    </xf>
    <xf numFmtId="0" fontId="61" fillId="2" borderId="0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0" fontId="64" fillId="2" borderId="36" xfId="1" applyFont="1" applyFill="1" applyBorder="1" applyAlignment="1">
      <alignment horizontal="center"/>
    </xf>
    <xf numFmtId="0" fontId="64" fillId="2" borderId="35" xfId="1" applyFont="1" applyFill="1" applyBorder="1" applyAlignment="1">
      <alignment horizontal="center"/>
    </xf>
    <xf numFmtId="0" fontId="66" fillId="0" borderId="34" xfId="71" applyFont="1" applyBorder="1" applyAlignment="1">
      <alignment horizontal="center"/>
    </xf>
    <xf numFmtId="0" fontId="64" fillId="2" borderId="1" xfId="1" applyFont="1" applyFill="1" applyBorder="1" applyAlignment="1">
      <alignment horizontal="center" vertical="center"/>
    </xf>
    <xf numFmtId="0" fontId="64" fillId="2" borderId="2" xfId="1" applyFont="1" applyFill="1" applyBorder="1" applyAlignment="1">
      <alignment horizontal="center" vertical="center"/>
    </xf>
    <xf numFmtId="0" fontId="65" fillId="0" borderId="2" xfId="71" applyFont="1" applyBorder="1" applyAlignment="1">
      <alignment horizontal="center" vertical="center"/>
    </xf>
    <xf numFmtId="0" fontId="64" fillId="2" borderId="4" xfId="1" applyFont="1" applyFill="1" applyBorder="1" applyAlignment="1">
      <alignment horizontal="center" vertical="center"/>
    </xf>
    <xf numFmtId="0" fontId="64" fillId="2" borderId="0" xfId="1" applyFont="1" applyFill="1" applyBorder="1" applyAlignment="1">
      <alignment horizontal="center" vertical="center"/>
    </xf>
    <xf numFmtId="0" fontId="65" fillId="0" borderId="0" xfId="71" applyFont="1" applyBorder="1" applyAlignment="1">
      <alignment horizontal="center" vertical="center"/>
    </xf>
    <xf numFmtId="0" fontId="64" fillId="2" borderId="6" xfId="1" applyFont="1" applyFill="1" applyBorder="1" applyAlignment="1">
      <alignment horizontal="center" vertical="center"/>
    </xf>
    <xf numFmtId="0" fontId="64" fillId="2" borderId="7" xfId="1" applyFont="1" applyFill="1" applyBorder="1" applyAlignment="1">
      <alignment horizontal="center" vertical="center"/>
    </xf>
    <xf numFmtId="0" fontId="65" fillId="0" borderId="7" xfId="71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28" borderId="4" xfId="0" applyFont="1" applyFill="1" applyBorder="1" applyAlignment="1">
      <alignment horizontal="left" vertical="center"/>
    </xf>
    <xf numFmtId="0" fontId="50" fillId="28" borderId="0" xfId="0" applyFont="1" applyFill="1" applyBorder="1" applyAlignment="1">
      <alignment horizontal="left" vertical="center"/>
    </xf>
    <xf numFmtId="0" fontId="51" fillId="0" borderId="4" xfId="0" applyFont="1" applyBorder="1" applyAlignment="1">
      <alignment horizontal="left"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50" fillId="29" borderId="1" xfId="0" applyFont="1" applyFill="1" applyBorder="1" applyAlignment="1">
      <alignment horizontal="center" vertical="center"/>
    </xf>
    <xf numFmtId="0" fontId="50" fillId="29" borderId="3" xfId="0" applyFont="1" applyFill="1" applyBorder="1" applyAlignment="1">
      <alignment horizontal="center" vertical="center"/>
    </xf>
    <xf numFmtId="0" fontId="50" fillId="29" borderId="6" xfId="0" applyFont="1" applyFill="1" applyBorder="1" applyAlignment="1">
      <alignment horizontal="center" vertical="center"/>
    </xf>
    <xf numFmtId="0" fontId="50" fillId="29" borderId="8" xfId="0" applyFont="1" applyFill="1" applyBorder="1" applyAlignment="1">
      <alignment horizontal="center" vertical="center"/>
    </xf>
    <xf numFmtId="0" fontId="50" fillId="29" borderId="9" xfId="0" applyFont="1" applyFill="1" applyBorder="1" applyAlignment="1">
      <alignment horizontal="center" vertical="center"/>
    </xf>
    <xf numFmtId="0" fontId="50" fillId="29" borderId="10" xfId="0" applyFont="1" applyFill="1" applyBorder="1" applyAlignment="1">
      <alignment horizontal="center" vertical="center"/>
    </xf>
    <xf numFmtId="0" fontId="50" fillId="29" borderId="11" xfId="0" applyFont="1" applyFill="1" applyBorder="1" applyAlignment="1">
      <alignment horizontal="center" vertical="center"/>
    </xf>
    <xf numFmtId="0" fontId="50" fillId="29" borderId="12" xfId="0" applyFont="1" applyFill="1" applyBorder="1" applyAlignment="1">
      <alignment horizontal="center" vertical="center" wrapText="1"/>
    </xf>
    <xf numFmtId="0" fontId="50" fillId="29" borderId="13" xfId="0" applyFont="1" applyFill="1" applyBorder="1" applyAlignment="1">
      <alignment horizontal="center" vertical="center" wrapText="1"/>
    </xf>
    <xf numFmtId="0" fontId="3" fillId="31" borderId="36" xfId="0" applyFont="1" applyFill="1" applyBorder="1" applyAlignment="1">
      <alignment horizontal="center" vertical="center"/>
    </xf>
    <xf numFmtId="0" fontId="3" fillId="31" borderId="35" xfId="0" applyFont="1" applyFill="1" applyBorder="1" applyAlignment="1">
      <alignment horizontal="center" vertical="center"/>
    </xf>
    <xf numFmtId="0" fontId="3" fillId="31" borderId="34" xfId="0" applyFont="1" applyFill="1" applyBorder="1" applyAlignment="1">
      <alignment horizontal="center" vertical="center"/>
    </xf>
    <xf numFmtId="0" fontId="0" fillId="31" borderId="32" xfId="0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31" xfId="0" applyFill="1" applyBorder="1" applyAlignment="1">
      <alignment horizontal="center" vertical="center"/>
    </xf>
    <xf numFmtId="0" fontId="4" fillId="31" borderId="32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center" vertical="center"/>
    </xf>
    <xf numFmtId="0" fontId="0" fillId="31" borderId="29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0" fontId="71" fillId="27" borderId="23" xfId="0" applyFont="1" applyFill="1" applyBorder="1" applyAlignment="1">
      <alignment horizontal="center" vertical="center"/>
    </xf>
    <xf numFmtId="0" fontId="71" fillId="27" borderId="23" xfId="0" applyFont="1" applyFill="1" applyBorder="1" applyAlignment="1">
      <alignment horizontal="center" vertical="center" wrapText="1"/>
    </xf>
  </cellXfs>
  <cellStyles count="73"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Entrada" xfId="9" builtinId="20" customBuiltin="1"/>
    <cellStyle name="Incorrecto" xfId="7" builtinId="27" customBuiltin="1"/>
    <cellStyle name="Millares" xfId="70" builtinId="3"/>
    <cellStyle name="Neutral" xfId="8" builtinId="28" customBuiltin="1"/>
    <cellStyle name="Normal" xfId="0" builtinId="0" customBuiltin="1"/>
    <cellStyle name="Normal 2" xfId="61"/>
    <cellStyle name="Normal 2 2" xfId="68"/>
    <cellStyle name="Normal 3" xfId="58"/>
    <cellStyle name="Normal 3 2" xfId="62"/>
    <cellStyle name="Normal 3 2 2" xfId="69"/>
    <cellStyle name="Normal 3 3" xfId="65"/>
    <cellStyle name="Normal 4" xfId="64"/>
    <cellStyle name="Normal 5" xfId="71"/>
    <cellStyle name="Normal 7" xfId="63"/>
    <cellStyle name="Normal 8" xfId="1"/>
    <cellStyle name="Normal 9" xfId="72"/>
    <cellStyle name="Notas" xfId="15" builtinId="10" customBuiltin="1"/>
    <cellStyle name="Salida" xfId="10" builtinId="21" customBuiltin="1"/>
    <cellStyle name="SAPBEXaggData" xfId="18"/>
    <cellStyle name="SAPBEXaggDataEmph" xfId="19"/>
    <cellStyle name="SAPBEXaggItem" xfId="20"/>
    <cellStyle name="SAPBEXaggItemX" xfId="21"/>
    <cellStyle name="SAPBEXchaText" xfId="22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32"/>
    <cellStyle name="SAPBEXfilterItem" xfId="33"/>
    <cellStyle name="SAPBEXfilterText" xfId="34"/>
    <cellStyle name="SAPBEXformats" xfId="35"/>
    <cellStyle name="SAPBEXheaderItem" xfId="36"/>
    <cellStyle name="SAPBEXheaderItem 2" xfId="66"/>
    <cellStyle name="SAPBEXheaderItem 3" xfId="59"/>
    <cellStyle name="SAPBEXheaderText" xfId="37"/>
    <cellStyle name="SAPBEXheaderText 2" xfId="67"/>
    <cellStyle name="SAPBEXheaderText 3" xfId="60"/>
    <cellStyle name="SAPBEXHLevel0" xfId="38"/>
    <cellStyle name="SAPBEXHLevel0X" xfId="39"/>
    <cellStyle name="SAPBEXHLevel1" xfId="40"/>
    <cellStyle name="SAPBEXHLevel1X" xfId="41"/>
    <cellStyle name="SAPBEXHLevel2" xfId="42"/>
    <cellStyle name="SAPBEXHLevel2X" xfId="43"/>
    <cellStyle name="SAPBEXHLevel3" xfId="44"/>
    <cellStyle name="SAPBEXHLevel3X" xfId="45"/>
    <cellStyle name="SAPBEXinputData" xfId="46"/>
    <cellStyle name="SAPBEXresData" xfId="47"/>
    <cellStyle name="SAPBEXresDataEmph" xfId="48"/>
    <cellStyle name="SAPBEXresItem" xfId="49"/>
    <cellStyle name="SAPBEXresItemX" xfId="50"/>
    <cellStyle name="SAPBEXstdData" xfId="51"/>
    <cellStyle name="SAPBEXstdDataEmph" xfId="52"/>
    <cellStyle name="SAPBEXstdItem" xfId="53"/>
    <cellStyle name="SAPBEXstdItemX" xfId="54"/>
    <cellStyle name="SAPBEXtitle" xfId="55"/>
    <cellStyle name="SAPBEXundefined" xfId="56"/>
    <cellStyle name="Sheet Title" xfId="57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59530</xdr:colOff>
      <xdr:row>2</xdr:row>
      <xdr:rowOff>21358</xdr:rowOff>
    </xdr:from>
    <xdr:to>
      <xdr:col>1</xdr:col>
      <xdr:colOff>214311</xdr:colOff>
      <xdr:row>5</xdr:row>
      <xdr:rowOff>368470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188046"/>
          <a:ext cx="1238250" cy="9781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1107439</xdr:colOff>
      <xdr:row>1</xdr:row>
      <xdr:rowOff>1587</xdr:rowOff>
    </xdr:to>
    <xdr:pic macro="[1]!DesignIconClicked">
      <xdr:nvPicPr>
        <xdr:cNvPr id="3" name="BExCUXUGTDJ0ZIG3AI8BCH10LHJC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7439" cy="1587"/>
        </a:xfrm>
        <a:prstGeom prst="rect">
          <a:avLst/>
        </a:prstGeom>
      </xdr:spPr>
    </xdr:pic>
    <xdr:clientData/>
  </xdr:twoCellAnchor>
  <xdr:twoCellAnchor>
    <xdr:from>
      <xdr:col>3</xdr:col>
      <xdr:colOff>1272539</xdr:colOff>
      <xdr:row>1</xdr:row>
      <xdr:rowOff>0</xdr:rowOff>
    </xdr:from>
    <xdr:to>
      <xdr:col>4</xdr:col>
      <xdr:colOff>1229359</xdr:colOff>
      <xdr:row>1</xdr:row>
      <xdr:rowOff>1587</xdr:rowOff>
    </xdr:to>
    <xdr:pic macro="[1]!DesignIconClicked">
      <xdr:nvPicPr>
        <xdr:cNvPr id="5" name="BExZRV1PEELQJ9HESG8TZNVRW9RS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59" y="0"/>
          <a:ext cx="122936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1587</xdr:rowOff>
    </xdr:to>
    <xdr:pic macro="[1]!DesignIconClicked">
      <xdr:nvPicPr>
        <xdr:cNvPr id="7" name="BExF34HHOD18AU7XXMEDHEW4B1FX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0" y="0"/>
          <a:ext cx="0" cy="1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2</xdr:row>
      <xdr:rowOff>114299</xdr:rowOff>
    </xdr:from>
    <xdr:to>
      <xdr:col>1</xdr:col>
      <xdr:colOff>588566</xdr:colOff>
      <xdr:row>8</xdr:row>
      <xdr:rowOff>17546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276224"/>
          <a:ext cx="794305" cy="77954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1282700</xdr:colOff>
      <xdr:row>1</xdr:row>
      <xdr:rowOff>1587</xdr:rowOff>
    </xdr:to>
    <xdr:pic macro="[1]!DesignIconClicked">
      <xdr:nvPicPr>
        <xdr:cNvPr id="3" name="BExCUXUGTDJ0ZIG3AI8BCH10LHJC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425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1229360</xdr:colOff>
      <xdr:row>1</xdr:row>
      <xdr:rowOff>1587</xdr:rowOff>
    </xdr:to>
    <xdr:pic macro="[1]!DesignIconClicked">
      <xdr:nvPicPr>
        <xdr:cNvPr id="4" name="BExZRV1PEELQJ9HESG8TZNVRW9RS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81978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1587</xdr:rowOff>
    </xdr:to>
    <xdr:pic macro="[1]!DesignIconClicked">
      <xdr:nvPicPr>
        <xdr:cNvPr id="5" name="BExF34HHOD18AU7XXMEDHEW4B1FX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0" cy="1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744855</xdr:colOff>
      <xdr:row>4</xdr:row>
      <xdr:rowOff>57150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57F0B5F3-9F24-4B0F-8F1D-44EE11CF3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992504" cy="8001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703580</xdr:colOff>
      <xdr:row>1</xdr:row>
      <xdr:rowOff>1587</xdr:rowOff>
    </xdr:to>
    <xdr:pic macro="[1]!DesignIconClicked">
      <xdr:nvPicPr>
        <xdr:cNvPr id="3" name="BExS3QF7W573VOWK8S857K1LTPOH" hidden="1">
          <a:extLst>
            <a:ext uri="{FF2B5EF4-FFF2-40B4-BE49-F238E27FC236}">
              <a16:creationId xmlns="" xmlns:a16="http://schemas.microsoft.com/office/drawing/2014/main" id="{C09B20A0-BEDF-4A90-BEA7-8EF164B268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4005" cy="1587"/>
        </a:xfrm>
        <a:prstGeom prst="rect">
          <a:avLst/>
        </a:prstGeom>
      </xdr:spPr>
    </xdr:pic>
    <xdr:clientData/>
  </xdr:twoCellAnchor>
  <xdr:twoCellAnchor>
    <xdr:from>
      <xdr:col>3</xdr:col>
      <xdr:colOff>1523999</xdr:colOff>
      <xdr:row>1</xdr:row>
      <xdr:rowOff>0</xdr:rowOff>
    </xdr:from>
    <xdr:to>
      <xdr:col>4</xdr:col>
      <xdr:colOff>1412238</xdr:colOff>
      <xdr:row>1</xdr:row>
      <xdr:rowOff>1587</xdr:rowOff>
    </xdr:to>
    <xdr:pic macro="[1]!DesignIconClicked">
      <xdr:nvPicPr>
        <xdr:cNvPr id="4" name="BExF7SRNDHOHK76HOBQH3K3QOWJ5" hidden="1">
          <a:extLst>
            <a:ext uri="{FF2B5EF4-FFF2-40B4-BE49-F238E27FC236}">
              <a16:creationId xmlns="" xmlns:a16="http://schemas.microsoft.com/office/drawing/2014/main" id="{F6C046F2-A9DB-408A-81F3-CA1A8E022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4" y="0"/>
          <a:ext cx="812164" cy="15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59530</xdr:colOff>
      <xdr:row>2</xdr:row>
      <xdr:rowOff>68982</xdr:rowOff>
    </xdr:from>
    <xdr:to>
      <xdr:col>1</xdr:col>
      <xdr:colOff>790575</xdr:colOff>
      <xdr:row>5</xdr:row>
      <xdr:rowOff>73775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240432"/>
          <a:ext cx="807245" cy="63344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398779</xdr:colOff>
      <xdr:row>1</xdr:row>
      <xdr:rowOff>1587</xdr:rowOff>
    </xdr:to>
    <xdr:pic macro="[1]!DesignIconClicked">
      <xdr:nvPicPr>
        <xdr:cNvPr id="3" name="BExCUXUGTDJ0ZIG3AI8BCH10LHJC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29" cy="1587"/>
        </a:xfrm>
        <a:prstGeom prst="rect">
          <a:avLst/>
        </a:prstGeom>
      </xdr:spPr>
    </xdr:pic>
    <xdr:clientData/>
  </xdr:twoCellAnchor>
  <xdr:twoCellAnchor>
    <xdr:from>
      <xdr:col>3</xdr:col>
      <xdr:colOff>1272539</xdr:colOff>
      <xdr:row>1</xdr:row>
      <xdr:rowOff>0</xdr:rowOff>
    </xdr:from>
    <xdr:to>
      <xdr:col>4</xdr:col>
      <xdr:colOff>1229359</xdr:colOff>
      <xdr:row>1</xdr:row>
      <xdr:rowOff>1587</xdr:rowOff>
    </xdr:to>
    <xdr:pic macro="[1]!DesignIconClicked">
      <xdr:nvPicPr>
        <xdr:cNvPr id="4" name="BExZRV1PEELQJ9HESG8TZNVRW9RS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7164" y="0"/>
          <a:ext cx="785495" cy="1587"/>
        </a:xfrm>
        <a:prstGeom prst="rect">
          <a:avLst/>
        </a:prstGeom>
      </xdr:spPr>
    </xdr:pic>
    <xdr:clientData/>
  </xdr:twoCellAnchor>
  <xdr:twoCellAnchor>
    <xdr:from>
      <xdr:col>1</xdr:col>
      <xdr:colOff>6606539</xdr:colOff>
      <xdr:row>1</xdr:row>
      <xdr:rowOff>0</xdr:rowOff>
    </xdr:from>
    <xdr:to>
      <xdr:col>2</xdr:col>
      <xdr:colOff>0</xdr:colOff>
      <xdr:row>1</xdr:row>
      <xdr:rowOff>1587</xdr:rowOff>
    </xdr:to>
    <xdr:pic macro="[1]!DesignIconClicked">
      <xdr:nvPicPr>
        <xdr:cNvPr id="5" name="BExF34HHOD18AU7XXMEDHEW4B1FX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539" y="0"/>
          <a:ext cx="3811" cy="15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976312</xdr:colOff>
      <xdr:row>4</xdr:row>
      <xdr:rowOff>123825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B1A53D77-04F7-463A-B193-FC5CC68BD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312" cy="809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7774940</xdr:colOff>
      <xdr:row>1</xdr:row>
      <xdr:rowOff>1587</xdr:rowOff>
    </xdr:to>
    <xdr:pic macro="[1]!DesignIconClicked">
      <xdr:nvPicPr>
        <xdr:cNvPr id="3" name="BEx5OUNYMEPCQ5C55NM7UC63CO61" hidden="1">
          <a:extLst>
            <a:ext uri="{FF2B5EF4-FFF2-40B4-BE49-F238E27FC236}">
              <a16:creationId xmlns="" xmlns:a16="http://schemas.microsoft.com/office/drawing/2014/main" id="{B2BBA99A-C579-437F-AB13-4A96116739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3790" cy="1587"/>
        </a:xfrm>
        <a:prstGeom prst="rect">
          <a:avLst/>
        </a:prstGeom>
      </xdr:spPr>
    </xdr:pic>
    <xdr:clientData/>
  </xdr:twoCellAnchor>
  <xdr:twoCellAnchor>
    <xdr:from>
      <xdr:col>3</xdr:col>
      <xdr:colOff>1386839</xdr:colOff>
      <xdr:row>1</xdr:row>
      <xdr:rowOff>0</xdr:rowOff>
    </xdr:from>
    <xdr:to>
      <xdr:col>4</xdr:col>
      <xdr:colOff>1412238</xdr:colOff>
      <xdr:row>1</xdr:row>
      <xdr:rowOff>1587</xdr:rowOff>
    </xdr:to>
    <xdr:pic macro="[1]!DesignIconClicked">
      <xdr:nvPicPr>
        <xdr:cNvPr id="4" name="BEx58ZAFFI1WJ74D15EY3TRHG32R" hidden="1">
          <a:extLst>
            <a:ext uri="{FF2B5EF4-FFF2-40B4-BE49-F238E27FC236}">
              <a16:creationId xmlns="" xmlns:a16="http://schemas.microsoft.com/office/drawing/2014/main" id="{B22C0429-14D5-4EE5-84F5-13AD0B972B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589" y="0"/>
          <a:ext cx="787399" cy="15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59530</xdr:colOff>
      <xdr:row>0</xdr:row>
      <xdr:rowOff>68580</xdr:rowOff>
    </xdr:from>
    <xdr:ext cx="1091796" cy="87139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68580"/>
          <a:ext cx="1091796" cy="87139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0</xdr:col>
      <xdr:colOff>1336039</xdr:colOff>
      <xdr:row>0</xdr:row>
      <xdr:rowOff>1587</xdr:rowOff>
    </xdr:to>
    <xdr:pic macro="[1]!DesignIconClicked">
      <xdr:nvPicPr>
        <xdr:cNvPr id="3" name="BExCUXUGTDJ0ZIG3AI8BCH10LHJC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539" cy="158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1229360</xdr:colOff>
      <xdr:row>0</xdr:row>
      <xdr:rowOff>1587</xdr:rowOff>
    </xdr:to>
    <xdr:pic macro="[1]!DesignIconClicked">
      <xdr:nvPicPr>
        <xdr:cNvPr id="4" name="BExZRV1PEELQJ9HESG8TZNVRW9RS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76263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1587</xdr:rowOff>
    </xdr:to>
    <xdr:pic macro="[1]!DesignIconClicked">
      <xdr:nvPicPr>
        <xdr:cNvPr id="5" name="BExF34HHOD18AU7XXMEDHEW4B1FX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0" cy="15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1</xdr:row>
      <xdr:rowOff>22412</xdr:rowOff>
    </xdr:from>
    <xdr:to>
      <xdr:col>1</xdr:col>
      <xdr:colOff>980964</xdr:colOff>
      <xdr:row>5</xdr:row>
      <xdr:rowOff>78442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2942A8D5-5444-42DC-96A6-448B43844A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423"/>
        <a:stretch/>
      </xdr:blipFill>
      <xdr:spPr>
        <a:xfrm>
          <a:off x="134472" y="22412"/>
          <a:ext cx="1246542" cy="8751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46</xdr:col>
      <xdr:colOff>21592</xdr:colOff>
      <xdr:row>5</xdr:row>
      <xdr:rowOff>135890</xdr:rowOff>
    </xdr:to>
    <xdr:pic macro="[1]!DesignIconClicked">
      <xdr:nvPicPr>
        <xdr:cNvPr id="2" name="BExODFSSBWL1JGCPQW88B2FT4LS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8447942" cy="993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BexGetData"/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G18" sqref="G18"/>
    </sheetView>
  </sheetViews>
  <sheetFormatPr baseColWidth="10" defaultColWidth="11.42578125" defaultRowHeight="12.75" x14ac:dyDescent="0.2"/>
  <cols>
    <col min="1" max="1" width="16.28515625" style="25" customWidth="1"/>
    <col min="2" max="2" width="52.7109375" style="25" customWidth="1"/>
    <col min="3" max="3" width="19.140625" style="25" hidden="1" customWidth="1"/>
    <col min="4" max="4" width="18.5703125" style="25" bestFit="1" customWidth="1"/>
    <col min="5" max="5" width="18.140625" style="25" bestFit="1" customWidth="1"/>
    <col min="6" max="8" width="18.5703125" style="25" bestFit="1" customWidth="1"/>
    <col min="9" max="9" width="13.42578125" style="25" customWidth="1"/>
    <col min="10" max="16384" width="11.42578125" style="25"/>
  </cols>
  <sheetData>
    <row r="1" spans="1:10" s="31" customFormat="1" hidden="1" x14ac:dyDescent="0.2">
      <c r="A1" s="29" t="s">
        <v>68</v>
      </c>
      <c r="B1" s="30"/>
      <c r="C1" s="29" t="s">
        <v>70</v>
      </c>
      <c r="E1" s="29" t="s">
        <v>69</v>
      </c>
      <c r="F1" s="31" t="str">
        <f>IF(AND(LEN(E1)&gt;0,LEN(E1)&lt;=2),MID(E1,1,2),MID(E1,1,FIND(".",E1)-1))</f>
        <v>1</v>
      </c>
      <c r="G1" s="31" t="str">
        <f>IF(LEN(E1)&gt;2,MID(E1,FIND(".",E1)+2,2),0)</f>
        <v>6</v>
      </c>
      <c r="H1" s="31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31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s="31" t="str">
        <f>IF(OR(G1="13",G1="14",G1="15",G1="16"),12,G1)</f>
        <v>6</v>
      </c>
    </row>
    <row r="2" spans="1:10" ht="13.5" thickBot="1" x14ac:dyDescent="0.25"/>
    <row r="3" spans="1:10" ht="18.75" x14ac:dyDescent="0.3">
      <c r="A3" s="252" t="s">
        <v>0</v>
      </c>
      <c r="B3" s="253"/>
      <c r="C3" s="253"/>
      <c r="D3" s="253"/>
      <c r="E3" s="253"/>
      <c r="F3" s="253"/>
      <c r="G3" s="253"/>
      <c r="H3" s="253"/>
      <c r="I3" s="254"/>
    </row>
    <row r="4" spans="1:10" ht="15.75" x14ac:dyDescent="0.25">
      <c r="A4" s="255" t="s">
        <v>1</v>
      </c>
      <c r="B4" s="256"/>
      <c r="C4" s="256"/>
      <c r="D4" s="256"/>
      <c r="E4" s="256"/>
      <c r="F4" s="256"/>
      <c r="G4" s="256"/>
      <c r="H4" s="256"/>
      <c r="I4" s="257"/>
    </row>
    <row r="5" spans="1:10" ht="15" x14ac:dyDescent="0.25">
      <c r="A5" s="258" t="s">
        <v>65</v>
      </c>
      <c r="B5" s="259"/>
      <c r="C5" s="259"/>
      <c r="D5" s="259"/>
      <c r="E5" s="259"/>
      <c r="F5" s="259"/>
      <c r="G5" s="259"/>
      <c r="H5" s="259"/>
      <c r="I5" s="260"/>
    </row>
    <row r="6" spans="1:10" ht="35.25" customHeight="1" thickBot="1" x14ac:dyDescent="0.25">
      <c r="A6" s="240" t="s">
        <v>71</v>
      </c>
      <c r="B6" s="241"/>
      <c r="C6" s="241"/>
      <c r="D6" s="241"/>
      <c r="E6" s="241"/>
      <c r="F6" s="241"/>
      <c r="G6" s="241"/>
      <c r="H6" s="241"/>
      <c r="I6" s="261"/>
    </row>
    <row r="7" spans="1:10" ht="15.75" hidden="1" thickBot="1" x14ac:dyDescent="0.3">
      <c r="A7" s="262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28 de Julio del 2017</v>
      </c>
      <c r="B7" s="263"/>
      <c r="C7" s="263"/>
      <c r="D7" s="263"/>
      <c r="E7" s="263"/>
      <c r="F7" s="263"/>
      <c r="G7" s="263"/>
      <c r="H7" s="263"/>
      <c r="I7" s="264"/>
    </row>
    <row r="8" spans="1:10" ht="15.75" thickBot="1" x14ac:dyDescent="0.3">
      <c r="A8" s="238" t="s">
        <v>57</v>
      </c>
      <c r="B8" s="239"/>
      <c r="C8" s="244" t="s">
        <v>2</v>
      </c>
      <c r="D8" s="247" t="s">
        <v>3</v>
      </c>
      <c r="E8" s="248"/>
      <c r="F8" s="248"/>
      <c r="G8" s="248"/>
      <c r="H8" s="249"/>
      <c r="I8" s="250" t="s">
        <v>72</v>
      </c>
    </row>
    <row r="9" spans="1:10" ht="30.75" thickBot="1" x14ac:dyDescent="0.3">
      <c r="A9" s="240"/>
      <c r="B9" s="241"/>
      <c r="C9" s="245"/>
      <c r="D9" s="1" t="s">
        <v>4</v>
      </c>
      <c r="E9" s="2" t="s">
        <v>5</v>
      </c>
      <c r="F9" s="1" t="s">
        <v>6</v>
      </c>
      <c r="G9" s="1" t="s">
        <v>7</v>
      </c>
      <c r="H9" s="1" t="s">
        <v>8</v>
      </c>
      <c r="I9" s="251"/>
    </row>
    <row r="10" spans="1:10" ht="15.75" thickBot="1" x14ac:dyDescent="0.3">
      <c r="A10" s="242"/>
      <c r="B10" s="243"/>
      <c r="C10" s="246"/>
      <c r="D10" s="3">
        <v>1</v>
      </c>
      <c r="E10" s="28">
        <v>2</v>
      </c>
      <c r="F10" s="3" t="s">
        <v>9</v>
      </c>
      <c r="G10" s="3">
        <v>4</v>
      </c>
      <c r="H10" s="3">
        <v>5</v>
      </c>
      <c r="I10" s="36" t="s">
        <v>73</v>
      </c>
    </row>
    <row r="11" spans="1:10" ht="15" x14ac:dyDescent="0.25">
      <c r="A11" s="4"/>
      <c r="B11" s="5"/>
      <c r="C11" s="6">
        <v>1000</v>
      </c>
      <c r="D11" s="7"/>
      <c r="E11" s="7"/>
      <c r="F11" s="7"/>
      <c r="G11" s="7"/>
      <c r="H11" s="7"/>
      <c r="I11" s="8"/>
    </row>
    <row r="12" spans="1:10" ht="15" x14ac:dyDescent="0.25">
      <c r="A12" s="4"/>
      <c r="B12" s="27" t="s">
        <v>61</v>
      </c>
      <c r="C12" s="6"/>
      <c r="D12" s="7">
        <v>40691442153.900002</v>
      </c>
      <c r="E12" s="7">
        <v>3817789850.73</v>
      </c>
      <c r="F12" s="7">
        <v>44509232004.630005</v>
      </c>
      <c r="G12" s="7">
        <v>22957119924.400002</v>
      </c>
      <c r="H12" s="7">
        <v>21912814061.759998</v>
      </c>
      <c r="I12" s="37">
        <f>G12/D12*100</f>
        <v>56.417562782791954</v>
      </c>
    </row>
    <row r="13" spans="1:10" ht="15" x14ac:dyDescent="0.25">
      <c r="A13" s="4"/>
      <c r="B13" s="26"/>
      <c r="C13" s="6"/>
      <c r="D13" s="7"/>
      <c r="E13" s="7"/>
      <c r="F13" s="7"/>
      <c r="G13" s="7"/>
      <c r="H13" s="7"/>
      <c r="I13" s="37"/>
    </row>
    <row r="14" spans="1:10" ht="15" x14ac:dyDescent="0.25">
      <c r="A14" s="4"/>
      <c r="B14" s="27" t="s">
        <v>62</v>
      </c>
      <c r="C14" s="6"/>
      <c r="D14" s="7">
        <v>6915480317.2600002</v>
      </c>
      <c r="E14" s="7">
        <v>-252274813.59</v>
      </c>
      <c r="F14" s="7">
        <v>6663205503.6700001</v>
      </c>
      <c r="G14" s="7">
        <v>947936900</v>
      </c>
      <c r="H14" s="7">
        <v>861030256.95000005</v>
      </c>
      <c r="I14" s="37">
        <f t="shared" ref="I14:I24" si="0">G14/D14*100</f>
        <v>13.707462916698523</v>
      </c>
    </row>
    <row r="15" spans="1:10" ht="15" x14ac:dyDescent="0.25">
      <c r="A15" s="4"/>
      <c r="B15" s="26"/>
      <c r="C15" s="6"/>
      <c r="D15" s="7"/>
      <c r="E15" s="7"/>
      <c r="F15" s="7"/>
      <c r="G15" s="7"/>
      <c r="H15" s="7"/>
      <c r="I15" s="37"/>
    </row>
    <row r="16" spans="1:10" ht="15" x14ac:dyDescent="0.25">
      <c r="A16" s="4"/>
      <c r="B16" s="27" t="s">
        <v>63</v>
      </c>
      <c r="C16" s="6"/>
      <c r="D16" s="7">
        <v>4003894765.4699998</v>
      </c>
      <c r="E16" s="7">
        <v>2433089392.77</v>
      </c>
      <c r="F16" s="7">
        <v>6436984158.2399998</v>
      </c>
      <c r="G16" s="7">
        <v>5986126862.9300003</v>
      </c>
      <c r="H16" s="7">
        <v>5827645469.6700001</v>
      </c>
      <c r="I16" s="37">
        <f t="shared" si="0"/>
        <v>149.5075973163674</v>
      </c>
    </row>
    <row r="17" spans="1:9" ht="15" x14ac:dyDescent="0.25">
      <c r="A17" s="9"/>
      <c r="B17" s="27"/>
      <c r="C17" s="11">
        <v>1100</v>
      </c>
      <c r="D17" s="12"/>
      <c r="E17" s="12"/>
      <c r="F17" s="12"/>
      <c r="G17" s="12"/>
      <c r="H17" s="12"/>
      <c r="I17" s="37"/>
    </row>
    <row r="18" spans="1:9" ht="15" x14ac:dyDescent="0.25">
      <c r="A18" s="9"/>
      <c r="B18" s="27" t="s">
        <v>64</v>
      </c>
      <c r="C18" s="11">
        <v>1200</v>
      </c>
      <c r="D18" s="7">
        <v>701811760.37</v>
      </c>
      <c r="E18" s="7">
        <v>21239823.379999999</v>
      </c>
      <c r="F18" s="7">
        <v>723051583.75</v>
      </c>
      <c r="G18" s="7">
        <v>353599981.76999998</v>
      </c>
      <c r="H18" s="7">
        <v>292608225.11000001</v>
      </c>
      <c r="I18" s="37">
        <f t="shared" si="0"/>
        <v>50.383878090555164</v>
      </c>
    </row>
    <row r="19" spans="1:9" ht="15" x14ac:dyDescent="0.25">
      <c r="A19" s="9"/>
      <c r="B19" s="27"/>
      <c r="C19" s="11">
        <v>1300</v>
      </c>
      <c r="D19" s="13"/>
      <c r="E19" s="13"/>
      <c r="F19" s="12"/>
      <c r="G19" s="13"/>
      <c r="H19" s="13"/>
      <c r="I19" s="37"/>
    </row>
    <row r="20" spans="1:9" ht="15" x14ac:dyDescent="0.25">
      <c r="A20" s="9"/>
      <c r="B20" s="27" t="s">
        <v>10</v>
      </c>
      <c r="C20" s="11">
        <v>1400</v>
      </c>
      <c r="D20" s="7">
        <v>4139250947</v>
      </c>
      <c r="E20" s="7">
        <v>-16283001.6</v>
      </c>
      <c r="F20" s="7">
        <v>4122967945.4000001</v>
      </c>
      <c r="G20" s="7">
        <v>2390131357.71</v>
      </c>
      <c r="H20" s="7">
        <v>2390131357.71</v>
      </c>
      <c r="I20" s="37">
        <f t="shared" si="0"/>
        <v>57.743088986723379</v>
      </c>
    </row>
    <row r="21" spans="1:9" ht="15" x14ac:dyDescent="0.25">
      <c r="A21" s="9"/>
      <c r="B21" s="10"/>
      <c r="C21" s="11">
        <v>1500</v>
      </c>
      <c r="D21" s="13"/>
      <c r="E21" s="13"/>
      <c r="F21" s="12"/>
      <c r="G21" s="13"/>
      <c r="H21" s="13"/>
      <c r="I21" s="37"/>
    </row>
    <row r="22" spans="1:9" ht="15" x14ac:dyDescent="0.25">
      <c r="A22" s="9"/>
      <c r="B22" s="10"/>
      <c r="C22" s="11">
        <v>1600</v>
      </c>
      <c r="D22" s="13"/>
      <c r="E22" s="13"/>
      <c r="F22" s="12"/>
      <c r="G22" s="13"/>
      <c r="H22" s="13"/>
      <c r="I22" s="37"/>
    </row>
    <row r="23" spans="1:9" ht="15.75" thickBot="1" x14ac:dyDescent="0.3">
      <c r="A23" s="9"/>
      <c r="B23" s="10"/>
      <c r="C23" s="11">
        <v>1700</v>
      </c>
      <c r="D23" s="13"/>
      <c r="E23" s="13"/>
      <c r="F23" s="12"/>
      <c r="G23" s="13"/>
      <c r="H23" s="13"/>
      <c r="I23" s="37"/>
    </row>
    <row r="24" spans="1:9" ht="15.75" thickBot="1" x14ac:dyDescent="0.3">
      <c r="A24" s="14"/>
      <c r="B24" s="15" t="s">
        <v>11</v>
      </c>
      <c r="C24" s="16"/>
      <c r="D24" s="24">
        <v>56451879944.000008</v>
      </c>
      <c r="E24" s="24">
        <v>6003561251.6899996</v>
      </c>
      <c r="F24" s="24">
        <v>62455441195.690002</v>
      </c>
      <c r="G24" s="24">
        <v>32634915026.810001</v>
      </c>
      <c r="H24" s="24">
        <v>31284229371.199997</v>
      </c>
      <c r="I24" s="38">
        <f t="shared" si="0"/>
        <v>57.810147437399216</v>
      </c>
    </row>
    <row r="26" spans="1:9" x14ac:dyDescent="0.2">
      <c r="D26" s="35"/>
      <c r="E26" s="35"/>
      <c r="F26" s="35"/>
      <c r="G26" s="35"/>
      <c r="H26" s="35"/>
      <c r="I26" s="35"/>
    </row>
  </sheetData>
  <mergeCells count="9">
    <mergeCell ref="A8:B10"/>
    <mergeCell ref="C8:C10"/>
    <mergeCell ref="D8:H8"/>
    <mergeCell ref="I8:I9"/>
    <mergeCell ref="A3:I3"/>
    <mergeCell ref="A4:I4"/>
    <mergeCell ref="A5:I5"/>
    <mergeCell ref="A6:I6"/>
    <mergeCell ref="A7:I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"/>
  <sheetViews>
    <sheetView topLeftCell="N1" zoomScale="80" zoomScaleNormal="80" workbookViewId="0">
      <selection activeCell="C3" sqref="C3"/>
    </sheetView>
  </sheetViews>
  <sheetFormatPr baseColWidth="10" defaultRowHeight="12.75" x14ac:dyDescent="0.2"/>
  <cols>
    <col min="1" max="1" width="16.5703125" bestFit="1" customWidth="1"/>
    <col min="2" max="2" width="17.5703125" bestFit="1" customWidth="1"/>
    <col min="3" max="4" width="22.140625" bestFit="1" customWidth="1"/>
    <col min="5" max="5" width="21" bestFit="1" customWidth="1"/>
    <col min="6" max="6" width="22.140625" bestFit="1" customWidth="1"/>
    <col min="7" max="7" width="17.5703125" bestFit="1" customWidth="1"/>
    <col min="8" max="8" width="18.28515625" bestFit="1" customWidth="1"/>
    <col min="9" max="9" width="17" bestFit="1" customWidth="1"/>
    <col min="10" max="10" width="17.5703125" bestFit="1" customWidth="1"/>
    <col min="11" max="11" width="20.140625" bestFit="1" customWidth="1"/>
    <col min="12" max="12" width="20.42578125" bestFit="1" customWidth="1"/>
    <col min="13" max="13" width="20.140625" bestFit="1" customWidth="1"/>
    <col min="14" max="14" width="20" bestFit="1" customWidth="1"/>
    <col min="15" max="15" width="18.28515625" bestFit="1" customWidth="1"/>
    <col min="16" max="16" width="21.42578125" bestFit="1" customWidth="1"/>
    <col min="17" max="17" width="17.5703125" bestFit="1" customWidth="1"/>
    <col min="18" max="18" width="18.28515625" bestFit="1" customWidth="1"/>
    <col min="19" max="19" width="23.5703125" bestFit="1" customWidth="1"/>
    <col min="20" max="20" width="17.42578125" bestFit="1" customWidth="1"/>
    <col min="21" max="21" width="20.7109375" bestFit="1" customWidth="1"/>
    <col min="22" max="22" width="21" bestFit="1" customWidth="1"/>
    <col min="23" max="23" width="20.7109375" bestFit="1" customWidth="1"/>
    <col min="24" max="24" width="20.42578125" bestFit="1" customWidth="1"/>
    <col min="25" max="26" width="17.5703125" bestFit="1" customWidth="1"/>
    <col min="27" max="27" width="17.42578125" bestFit="1" customWidth="1"/>
    <col min="28" max="28" width="17.5703125" bestFit="1" customWidth="1"/>
    <col min="29" max="29" width="18" bestFit="1" customWidth="1"/>
    <col min="30" max="30" width="17.5703125" bestFit="1" customWidth="1"/>
    <col min="31" max="31" width="17.42578125" bestFit="1" customWidth="1"/>
    <col min="32" max="32" width="14.7109375" bestFit="1" customWidth="1"/>
    <col min="33" max="33" width="17.42578125" bestFit="1" customWidth="1"/>
    <col min="34" max="34" width="17.140625" bestFit="1" customWidth="1"/>
    <col min="35" max="35" width="17.5703125" bestFit="1" customWidth="1"/>
    <col min="36" max="37" width="17.42578125" bestFit="1" customWidth="1"/>
    <col min="38" max="38" width="16.42578125" bestFit="1" customWidth="1"/>
    <col min="39" max="39" width="17.5703125" bestFit="1" customWidth="1"/>
    <col min="40" max="40" width="18.140625" bestFit="1" customWidth="1"/>
    <col min="41" max="42" width="23.140625" bestFit="1" customWidth="1"/>
    <col min="43" max="43" width="16.28515625" bestFit="1" customWidth="1"/>
    <col min="44" max="44" width="12.7109375" bestFit="1" customWidth="1"/>
    <col min="45" max="45" width="17" bestFit="1" customWidth="1"/>
    <col min="46" max="47" width="11.28515625" bestFit="1" customWidth="1"/>
  </cols>
  <sheetData>
    <row r="1" spans="1:46" ht="51" x14ac:dyDescent="0.2">
      <c r="A1" s="22" t="s">
        <v>57</v>
      </c>
      <c r="B1" s="23" t="s">
        <v>55</v>
      </c>
      <c r="C1" s="23" t="s">
        <v>12</v>
      </c>
      <c r="D1" s="23" t="s">
        <v>13</v>
      </c>
      <c r="E1" s="23" t="s">
        <v>14</v>
      </c>
      <c r="F1" s="23" t="s">
        <v>15</v>
      </c>
      <c r="G1" s="23" t="s">
        <v>16</v>
      </c>
      <c r="H1" s="23" t="s">
        <v>17</v>
      </c>
      <c r="I1" s="23" t="s">
        <v>56</v>
      </c>
      <c r="J1" s="23" t="s">
        <v>18</v>
      </c>
      <c r="K1" s="23" t="s">
        <v>19</v>
      </c>
      <c r="L1" s="23" t="s">
        <v>20</v>
      </c>
      <c r="M1" s="23" t="s">
        <v>21</v>
      </c>
      <c r="N1" s="23" t="s">
        <v>22</v>
      </c>
      <c r="O1" s="23" t="s">
        <v>23</v>
      </c>
      <c r="P1" s="23" t="s">
        <v>24</v>
      </c>
      <c r="Q1" s="23" t="s">
        <v>25</v>
      </c>
      <c r="R1" s="23" t="s">
        <v>26</v>
      </c>
      <c r="S1" s="23" t="s">
        <v>27</v>
      </c>
      <c r="T1" s="23" t="s">
        <v>28</v>
      </c>
      <c r="U1" s="23" t="s">
        <v>29</v>
      </c>
      <c r="V1" s="23" t="s">
        <v>30</v>
      </c>
      <c r="W1" s="23" t="s">
        <v>31</v>
      </c>
      <c r="X1" s="23" t="s">
        <v>32</v>
      </c>
      <c r="Y1" s="23" t="s">
        <v>33</v>
      </c>
      <c r="Z1" s="23" t="s">
        <v>34</v>
      </c>
      <c r="AA1" s="23" t="s">
        <v>35</v>
      </c>
      <c r="AB1" s="23" t="s">
        <v>36</v>
      </c>
      <c r="AC1" s="23" t="s">
        <v>37</v>
      </c>
      <c r="AD1" s="23" t="s">
        <v>38</v>
      </c>
      <c r="AE1" s="23" t="s">
        <v>39</v>
      </c>
      <c r="AF1" s="23" t="s">
        <v>40</v>
      </c>
      <c r="AG1" s="23" t="s">
        <v>41</v>
      </c>
      <c r="AH1" s="23" t="s">
        <v>42</v>
      </c>
      <c r="AI1" s="23" t="s">
        <v>43</v>
      </c>
      <c r="AJ1" s="23" t="s">
        <v>44</v>
      </c>
      <c r="AK1" s="23" t="s">
        <v>45</v>
      </c>
      <c r="AL1" s="23" t="s">
        <v>46</v>
      </c>
      <c r="AM1" s="23" t="s">
        <v>47</v>
      </c>
      <c r="AN1" s="23" t="s">
        <v>48</v>
      </c>
      <c r="AO1" s="23" t="s">
        <v>49</v>
      </c>
      <c r="AP1" s="23" t="s">
        <v>50</v>
      </c>
      <c r="AQ1" s="23" t="s">
        <v>51</v>
      </c>
      <c r="AR1" s="23" t="s">
        <v>52</v>
      </c>
      <c r="AS1" s="23" t="s">
        <v>53</v>
      </c>
      <c r="AT1" s="23" t="s">
        <v>54</v>
      </c>
    </row>
    <row r="2" spans="1:46" x14ac:dyDescent="0.2">
      <c r="A2" s="17" t="s">
        <v>58</v>
      </c>
      <c r="B2" s="18" t="e">
        <f ca="1">[1]!BexGetData("DP_1","00O2TNJGODT0K3B2ZQF7OGKKL","1")</f>
        <v>#NAME?</v>
      </c>
      <c r="C2" s="32" t="e">
        <f ca="1">[1]!BexGetData("DP_1","00O2TNJGODT0K3B2ZQF7OGQW5","1")</f>
        <v>#NAME?</v>
      </c>
      <c r="D2" s="32" t="e">
        <f ca="1">[1]!BexGetData("DP_1","00O2TNJGODT0K3B2ZQF7OGX7P","1")</f>
        <v>#NAME?</v>
      </c>
      <c r="E2" s="32" t="e">
        <f ca="1">[1]!BexGetData("DP_1","00O2TNJGODT0K3B2ZQF7OH3J9","1")</f>
        <v>#NAME?</v>
      </c>
      <c r="F2" s="32" t="e">
        <f ca="1">[1]!BexGetData("DP_1","00O2TNJGODT0K3B2ZQF7OH9UT","1")</f>
        <v>#NAME?</v>
      </c>
      <c r="G2" s="18" t="e">
        <f ca="1">[1]!BexGetData("DP_1","00O2TNJGODT0K3B2ZQF7OIBS5","1")</f>
        <v>#NAME?</v>
      </c>
      <c r="H2" s="18" t="e">
        <f ca="1">[1]!BexGetData("DP_1","00O2TNJGODT0K3B2ZQF7OJDPH","1")</f>
        <v>#NAME?</v>
      </c>
      <c r="I2" s="18" t="e">
        <f ca="1">[1]!BexGetData("DP_1","00O2TNJGODT0K3BKNKUTOT6UI","1")</f>
        <v>#NAME?</v>
      </c>
      <c r="J2" s="18" t="e">
        <f ca="1">[1]!BexGetData("DP_1","00O2TNJGODT0K3B2ZQF7OJK11","1")</f>
        <v>#NAME?</v>
      </c>
      <c r="K2" s="18" t="e">
        <f ca="1">[1]!BexGetData("DP_1","00O2TNJGODT0K3B2ZQF7OJQCL","1")</f>
        <v>#NAME?</v>
      </c>
      <c r="L2" s="18" t="e">
        <f ca="1">[1]!BexGetData("DP_1","00O2TNJGODT0K3B2ZQF7OJWO5","1")</f>
        <v>#NAME?</v>
      </c>
      <c r="M2" s="18" t="e">
        <f ca="1">[1]!BexGetData("DP_1","00O2TNJGODT0K3B2ZQF7OK2ZP","1")</f>
        <v>#NAME?</v>
      </c>
      <c r="N2" s="18" t="e">
        <f ca="1">[1]!BexGetData("DP_1","00O2TNJGODT0K3B2ZQF7OK9B9","1")</f>
        <v>#NAME?</v>
      </c>
      <c r="O2" s="18" t="e">
        <f ca="1">[1]!BexGetData("DP_1","00O2TNJGODT0K3B2ZQF7OKLYD","1")</f>
        <v>#NAME?</v>
      </c>
      <c r="P2" s="18" t="e">
        <f ca="1">[1]!BexGetData("DP_1","00O2TNJGODT0K3B2ZQF7OKS9X","1")</f>
        <v>#NAME?</v>
      </c>
      <c r="Q2" s="18" t="e">
        <f ca="1">[1]!BexGetData("DP_1","00O2TNJGODT0K3B2ZQF7OLHK5","1")</f>
        <v>#NAME?</v>
      </c>
      <c r="R2" s="18" t="e">
        <f ca="1">[1]!BexGetData("DP_1","00O2TNJGODT0K3B2ZQF7ON8RP","1")</f>
        <v>#NAME?</v>
      </c>
      <c r="S2" s="18" t="e">
        <f ca="1">[1]!BexGetData("DP_1","00O2TNJGODT0K3B2ZQF7ONF39","1")</f>
        <v>#NAME?</v>
      </c>
      <c r="T2" s="18" t="e">
        <f ca="1">[1]!BexGetData("DP_1","00O2TNJGODT0K3B2ZQF7OLNVP","1")</f>
        <v>#NAME?</v>
      </c>
      <c r="U2" s="18" t="e">
        <f ca="1">[1]!BexGetData("DP_1","00O2TNJGODT0K3B2ZQF7OPVL1","1")</f>
        <v>#NAME?</v>
      </c>
      <c r="V2" s="18" t="e">
        <f ca="1">[1]!BexGetData("DP_1","00O2TNJGODT0K3B2ZQF7OQXID","1")</f>
        <v>#NAME?</v>
      </c>
      <c r="W2" s="18" t="e">
        <f ca="1">[1]!BexGetData("DP_1","00O2TNJGODT0K3B2ZQF7ORZFP","1")</f>
        <v>#NAME?</v>
      </c>
      <c r="X2" s="20" t="e">
        <f ca="1">[1]!BexGetData("DP_1","00O2TNJGODT0K3B2ZQF7OT1D1","1")</f>
        <v>#NAME?</v>
      </c>
      <c r="Y2" s="18" t="e">
        <f ca="1">[1]!BexGetData("DP_1","00O2TNJGODT0K3B2ZQF7OU3AD","1")</f>
        <v>#NAME?</v>
      </c>
      <c r="Z2" s="18" t="e">
        <f ca="1">[1]!BexGetData("DP_1","00O2TNJGODT0K3B2ZQF7OU9LX","1")</f>
        <v>#NAME?</v>
      </c>
      <c r="AA2" s="18" t="e">
        <f ca="1">[1]!BexGetData("DP_1","00O2TNJGODT0K3B2ZQF7OM0IT","1")</f>
        <v>#NAME?</v>
      </c>
      <c r="AB2" s="18" t="e">
        <f ca="1">[1]!BexGetData("DP_1","00O2TNJGODT0K3B2ZQF7OQ1WL","1")</f>
        <v>#NAME?</v>
      </c>
      <c r="AC2" s="18" t="e">
        <f ca="1">[1]!BexGetData("DP_1","00O2TNJGODT0K3B2ZQF7OR3TX","1")</f>
        <v>#NAME?</v>
      </c>
      <c r="AD2" s="18" t="e">
        <f ca="1">[1]!BexGetData("DP_1","00O2TNJGODT0K3B2ZQF7OS5R9","1")</f>
        <v>#NAME?</v>
      </c>
      <c r="AE2" s="20" t="e">
        <f ca="1">[1]!BexGetData("DP_1","00O2TNJGODT0K3B2ZQF7OT7OL","1")</f>
        <v>#NAME?</v>
      </c>
      <c r="AF2" s="18" t="e">
        <f ca="1">[1]!BexGetData("DP_1","00O2TNJGODT0K3B2ZQF7OUFXH","1")</f>
        <v>#NAME?</v>
      </c>
      <c r="AG2" s="18" t="e">
        <f ca="1">[1]!BexGetData("DP_1","00O2TNJGODT0K3B2ZQF7OMD5X","1")</f>
        <v>#NAME?</v>
      </c>
      <c r="AH2" s="18" t="e">
        <f ca="1">[1]!BexGetData("DP_1","00O2TNJGODT0K3B2ZQF7OQ885","1")</f>
        <v>#NAME?</v>
      </c>
      <c r="AI2" s="18" t="e">
        <f ca="1">[1]!BexGetData("DP_1","00O2TNJGODT0K3B2ZQF7ORA5H","1")</f>
        <v>#NAME?</v>
      </c>
      <c r="AJ2" s="18" t="e">
        <f ca="1">[1]!BexGetData("DP_1","00O2TNJGODT0K3B2ZQF7OSC2T","1")</f>
        <v>#NAME?</v>
      </c>
      <c r="AK2" s="20" t="e">
        <f ca="1">[1]!BexGetData("DP_1","00O2TNJGODT0K3B2ZQF7OTE05","1")</f>
        <v>#NAME?</v>
      </c>
      <c r="AL2" s="18" t="e">
        <f ca="1">[1]!BexGetData("DP_1","00O2TNJGODT0K3B2ZQF7OUM91","1")</f>
        <v>#NAME?</v>
      </c>
      <c r="AM2" s="18" t="e">
        <f ca="1">[1]!BexGetData("DP_1","00O2TNJGODT0K3B2ZQF7OUYW5","1")</f>
        <v>#NAME?</v>
      </c>
      <c r="AN2" s="18" t="e">
        <f ca="1">[1]!BexGetData("DP_1","00O2TNJGODT0K3B2ZQF7OW751","1")</f>
        <v>#NAME?</v>
      </c>
      <c r="AO2" s="33" t="e">
        <f ca="1">[1]!BexGetData("DP_1","00O2TNJGODT0K3B2ZQF7OWDGL","1")</f>
        <v>#NAME?</v>
      </c>
      <c r="AP2" s="33" t="e">
        <f ca="1">[1]!BexGetData("DP_1","00O2TNJGODT0K3B2ZQF7OWQ3P","1")</f>
        <v>#NAME?</v>
      </c>
      <c r="AQ2" s="18" t="e">
        <f ca="1">[1]!BexGetData("DP_1","00O2TNJGODT0K3B2ZQF7OYHB9","1")</f>
        <v>#NAME?</v>
      </c>
      <c r="AR2" s="34" t="e">
        <f ca="1">[1]!BexGetData("DP_1","00O2TNJGODT0K3B2ZQF7OZ6LH","1")</f>
        <v>#NAME?</v>
      </c>
      <c r="AS2" s="18" t="e">
        <f ca="1">[1]!BexGetData("DP_1","00O2TNJGODT0K3B2ZQF7OZCX1","1")</f>
        <v>#NAME?</v>
      </c>
      <c r="AT2" s="20" t="e">
        <f ca="1">[1]!BexGetData("DP_1","00O2TNJGODT0K3B2ZQF7OZJ8L","1")</f>
        <v>#NAME?</v>
      </c>
    </row>
    <row r="3" spans="1:46" x14ac:dyDescent="0.2">
      <c r="A3" s="17" t="s">
        <v>59</v>
      </c>
      <c r="B3" s="18" t="e">
        <f ca="1">[1]!BexGetData("DP_1","00O2TNJGODT0K3B2ZQF7OGKKL","2")</f>
        <v>#NAME?</v>
      </c>
      <c r="C3" s="32" t="e">
        <f ca="1">[1]!BexGetData("DP_1","00O2TNJGODT0K3B2ZQF7OGQW5","2")</f>
        <v>#NAME?</v>
      </c>
      <c r="D3" s="32" t="e">
        <f ca="1">[1]!BexGetData("DP_1","00O2TNJGODT0K3B2ZQF7OGX7P","2")</f>
        <v>#NAME?</v>
      </c>
      <c r="E3" s="32" t="e">
        <f ca="1">[1]!BexGetData("DP_1","00O2TNJGODT0K3B2ZQF7OH3J9","2")</f>
        <v>#NAME?</v>
      </c>
      <c r="F3" s="32" t="e">
        <f ca="1">[1]!BexGetData("DP_1","00O2TNJGODT0K3B2ZQF7OH9UT","2")</f>
        <v>#NAME?</v>
      </c>
      <c r="G3" s="18" t="e">
        <f ca="1">[1]!BexGetData("DP_1","00O2TNJGODT0K3B2ZQF7OIBS5","2")</f>
        <v>#NAME?</v>
      </c>
      <c r="H3" s="18" t="e">
        <f ca="1">[1]!BexGetData("DP_1","00O2TNJGODT0K3B2ZQF7OJDPH","2")</f>
        <v>#NAME?</v>
      </c>
      <c r="I3" s="18" t="e">
        <f ca="1">[1]!BexGetData("DP_1","00O2TNJGODT0K3BKNKUTOT6UI","2")</f>
        <v>#NAME?</v>
      </c>
      <c r="J3" s="18" t="e">
        <f ca="1">[1]!BexGetData("DP_1","00O2TNJGODT0K3B2ZQF7OJK11","2")</f>
        <v>#NAME?</v>
      </c>
      <c r="K3" s="18" t="e">
        <f ca="1">[1]!BexGetData("DP_1","00O2TNJGODT0K3B2ZQF7OJQCL","2")</f>
        <v>#NAME?</v>
      </c>
      <c r="L3" s="18" t="e">
        <f ca="1">[1]!BexGetData("DP_1","00O2TNJGODT0K3B2ZQF7OJWO5","2")</f>
        <v>#NAME?</v>
      </c>
      <c r="M3" s="18" t="e">
        <f ca="1">[1]!BexGetData("DP_1","00O2TNJGODT0K3B2ZQF7OK2ZP","2")</f>
        <v>#NAME?</v>
      </c>
      <c r="N3" s="18" t="e">
        <f ca="1">[1]!BexGetData("DP_1","00O2TNJGODT0K3B2ZQF7OK9B9","2")</f>
        <v>#NAME?</v>
      </c>
      <c r="O3" s="18" t="e">
        <f ca="1">[1]!BexGetData("DP_1","00O2TNJGODT0K3B2ZQF7OKLYD","2")</f>
        <v>#NAME?</v>
      </c>
      <c r="P3" s="18" t="e">
        <f ca="1">[1]!BexGetData("DP_1","00O2TNJGODT0K3B2ZQF7OKS9X","2")</f>
        <v>#NAME?</v>
      </c>
      <c r="Q3" s="18" t="e">
        <f ca="1">[1]!BexGetData("DP_1","00O2TNJGODT0K3B2ZQF7OLHK5","2")</f>
        <v>#NAME?</v>
      </c>
      <c r="R3" s="18" t="e">
        <f ca="1">[1]!BexGetData("DP_1","00O2TNJGODT0K3B2ZQF7ON8RP","2")</f>
        <v>#NAME?</v>
      </c>
      <c r="S3" s="18" t="e">
        <f ca="1">[1]!BexGetData("DP_1","00O2TNJGODT0K3B2ZQF7ONF39","2")</f>
        <v>#NAME?</v>
      </c>
      <c r="T3" s="18" t="e">
        <f ca="1">[1]!BexGetData("DP_1","00O2TNJGODT0K3B2ZQF7OLNVP","2")</f>
        <v>#NAME?</v>
      </c>
      <c r="U3" s="18" t="e">
        <f ca="1">[1]!BexGetData("DP_1","00O2TNJGODT0K3B2ZQF7OPVL1","2")</f>
        <v>#NAME?</v>
      </c>
      <c r="V3" s="18" t="e">
        <f ca="1">[1]!BexGetData("DP_1","00O2TNJGODT0K3B2ZQF7OQXID","2")</f>
        <v>#NAME?</v>
      </c>
      <c r="W3" s="18" t="e">
        <f ca="1">[1]!BexGetData("DP_1","00O2TNJGODT0K3B2ZQF7ORZFP","2")</f>
        <v>#NAME?</v>
      </c>
      <c r="X3" s="20" t="e">
        <f ca="1">[1]!BexGetData("DP_1","00O2TNJGODT0K3B2ZQF7OT1D1","2")</f>
        <v>#NAME?</v>
      </c>
      <c r="Y3" s="18" t="e">
        <f ca="1">[1]!BexGetData("DP_1","00O2TNJGODT0K3B2ZQF7OU3AD","2")</f>
        <v>#NAME?</v>
      </c>
      <c r="Z3" s="18" t="e">
        <f ca="1">[1]!BexGetData("DP_1","00O2TNJGODT0K3B2ZQF7OU9LX","2")</f>
        <v>#NAME?</v>
      </c>
      <c r="AA3" s="18" t="e">
        <f ca="1">[1]!BexGetData("DP_1","00O2TNJGODT0K3B2ZQF7OM0IT","2")</f>
        <v>#NAME?</v>
      </c>
      <c r="AB3" s="18" t="e">
        <f ca="1">[1]!BexGetData("DP_1","00O2TNJGODT0K3B2ZQF7OQ1WL","2")</f>
        <v>#NAME?</v>
      </c>
      <c r="AC3" s="18" t="e">
        <f ca="1">[1]!BexGetData("DP_1","00O2TNJGODT0K3B2ZQF7OR3TX","2")</f>
        <v>#NAME?</v>
      </c>
      <c r="AD3" s="18" t="e">
        <f ca="1">[1]!BexGetData("DP_1","00O2TNJGODT0K3B2ZQF7OS5R9","2")</f>
        <v>#NAME?</v>
      </c>
      <c r="AE3" s="20" t="e">
        <f ca="1">[1]!BexGetData("DP_1","00O2TNJGODT0K3B2ZQF7OT7OL","2")</f>
        <v>#NAME?</v>
      </c>
      <c r="AF3" s="18" t="e">
        <f ca="1">[1]!BexGetData("DP_1","00O2TNJGODT0K3B2ZQF7OUFXH","2")</f>
        <v>#NAME?</v>
      </c>
      <c r="AG3" s="18" t="e">
        <f ca="1">[1]!BexGetData("DP_1","00O2TNJGODT0K3B2ZQF7OMD5X","2")</f>
        <v>#NAME?</v>
      </c>
      <c r="AH3" s="18" t="e">
        <f ca="1">[1]!BexGetData("DP_1","00O2TNJGODT0K3B2ZQF7OQ885","2")</f>
        <v>#NAME?</v>
      </c>
      <c r="AI3" s="18" t="e">
        <f ca="1">[1]!BexGetData("DP_1","00O2TNJGODT0K3B2ZQF7ORA5H","2")</f>
        <v>#NAME?</v>
      </c>
      <c r="AJ3" s="18" t="e">
        <f ca="1">[1]!BexGetData("DP_1","00O2TNJGODT0K3B2ZQF7OSC2T","2")</f>
        <v>#NAME?</v>
      </c>
      <c r="AK3" s="20" t="e">
        <f ca="1">[1]!BexGetData("DP_1","00O2TNJGODT0K3B2ZQF7OTE05","2")</f>
        <v>#NAME?</v>
      </c>
      <c r="AL3" s="18" t="e">
        <f ca="1">[1]!BexGetData("DP_1","00O2TNJGODT0K3B2ZQF7OUM91","2")</f>
        <v>#NAME?</v>
      </c>
      <c r="AM3" s="18" t="e">
        <f ca="1">[1]!BexGetData("DP_1","00O2TNJGODT0K3B2ZQF7OUYW5","2")</f>
        <v>#NAME?</v>
      </c>
      <c r="AN3" s="18" t="e">
        <f ca="1">[1]!BexGetData("DP_1","00O2TNJGODT0K3B2ZQF7OW751","2")</f>
        <v>#NAME?</v>
      </c>
      <c r="AO3" s="33" t="e">
        <f ca="1">[1]!BexGetData("DP_1","00O2TNJGODT0K3B2ZQF7OWDGL","2")</f>
        <v>#NAME?</v>
      </c>
      <c r="AP3" s="33" t="e">
        <f ca="1">[1]!BexGetData("DP_1","00O2TNJGODT0K3B2ZQF7OWQ3P","2")</f>
        <v>#NAME?</v>
      </c>
      <c r="AQ3" s="18" t="e">
        <f ca="1">[1]!BexGetData("DP_1","00O2TNJGODT0K3B2ZQF7OYHB9","2")</f>
        <v>#NAME?</v>
      </c>
      <c r="AR3" s="34" t="e">
        <f ca="1">[1]!BexGetData("DP_1","00O2TNJGODT0K3B2ZQF7OZ6LH","2")</f>
        <v>#NAME?</v>
      </c>
      <c r="AS3" s="18" t="e">
        <f ca="1">[1]!BexGetData("DP_1","00O2TNJGODT0K3B2ZQF7OZCX1","2")</f>
        <v>#NAME?</v>
      </c>
      <c r="AT3" s="20" t="e">
        <f ca="1">[1]!BexGetData("DP_1","00O2TNJGODT0K3B2ZQF7OZJ8L","2")</f>
        <v>#NAME?</v>
      </c>
    </row>
    <row r="4" spans="1:46" x14ac:dyDescent="0.2">
      <c r="A4" s="17" t="s">
        <v>60</v>
      </c>
      <c r="B4" s="18" t="e">
        <f ca="1">[1]!BexGetData("DP_1","00O2TNJGODT0K3B2ZQF7OGKKL","3")</f>
        <v>#NAME?</v>
      </c>
      <c r="C4" s="32" t="e">
        <f ca="1">[1]!BexGetData("DP_1","00O2TNJGODT0K3B2ZQF7OGQW5","3")</f>
        <v>#NAME?</v>
      </c>
      <c r="D4" s="32" t="e">
        <f ca="1">[1]!BexGetData("DP_1","00O2TNJGODT0K3B2ZQF7OGX7P","3")</f>
        <v>#NAME?</v>
      </c>
      <c r="E4" s="32" t="e">
        <f ca="1">[1]!BexGetData("DP_1","00O2TNJGODT0K3B2ZQF7OH3J9","3")</f>
        <v>#NAME?</v>
      </c>
      <c r="F4" s="32" t="e">
        <f ca="1">[1]!BexGetData("DP_1","00O2TNJGODT0K3B2ZQF7OH9UT","3")</f>
        <v>#NAME?</v>
      </c>
      <c r="G4" s="18" t="e">
        <f ca="1">[1]!BexGetData("DP_1","00O2TNJGODT0K3B2ZQF7OIBS5","3")</f>
        <v>#NAME?</v>
      </c>
      <c r="H4" s="18" t="e">
        <f ca="1">[1]!BexGetData("DP_1","00O2TNJGODT0K3B2ZQF7OJDPH","3")</f>
        <v>#NAME?</v>
      </c>
      <c r="I4" s="18" t="e">
        <f ca="1">[1]!BexGetData("DP_1","00O2TNJGODT0K3BKNKUTOT6UI","3")</f>
        <v>#NAME?</v>
      </c>
      <c r="J4" s="18" t="e">
        <f ca="1">[1]!BexGetData("DP_1","00O2TNJGODT0K3B2ZQF7OJK11","3")</f>
        <v>#NAME?</v>
      </c>
      <c r="K4" s="18" t="e">
        <f ca="1">[1]!BexGetData("DP_1","00O2TNJGODT0K3B2ZQF7OJQCL","3")</f>
        <v>#NAME?</v>
      </c>
      <c r="L4" s="18" t="e">
        <f ca="1">[1]!BexGetData("DP_1","00O2TNJGODT0K3B2ZQF7OJWO5","3")</f>
        <v>#NAME?</v>
      </c>
      <c r="M4" s="18" t="e">
        <f ca="1">[1]!BexGetData("DP_1","00O2TNJGODT0K3B2ZQF7OK2ZP","3")</f>
        <v>#NAME?</v>
      </c>
      <c r="N4" s="18" t="e">
        <f ca="1">[1]!BexGetData("DP_1","00O2TNJGODT0K3B2ZQF7OK9B9","3")</f>
        <v>#NAME?</v>
      </c>
      <c r="O4" s="20" t="e">
        <f ca="1">[1]!BexGetData("DP_1","00O2TNJGODT0K3B2ZQF7OKLYD","3")</f>
        <v>#NAME?</v>
      </c>
      <c r="P4" s="18" t="e">
        <f ca="1">[1]!BexGetData("DP_1","00O2TNJGODT0K3B2ZQF7OKS9X","3")</f>
        <v>#NAME?</v>
      </c>
      <c r="Q4" s="18" t="e">
        <f ca="1">[1]!BexGetData("DP_1","00O2TNJGODT0K3B2ZQF7OLHK5","3")</f>
        <v>#NAME?</v>
      </c>
      <c r="R4" s="18" t="e">
        <f ca="1">[1]!BexGetData("DP_1","00O2TNJGODT0K3B2ZQF7ON8RP","3")</f>
        <v>#NAME?</v>
      </c>
      <c r="S4" s="18" t="e">
        <f ca="1">[1]!BexGetData("DP_1","00O2TNJGODT0K3B2ZQF7ONF39","3")</f>
        <v>#NAME?</v>
      </c>
      <c r="T4" s="18" t="e">
        <f ca="1">[1]!BexGetData("DP_1","00O2TNJGODT0K3B2ZQF7OLNVP","3")</f>
        <v>#NAME?</v>
      </c>
      <c r="U4" s="18" t="e">
        <f ca="1">[1]!BexGetData("DP_1","00O2TNJGODT0K3B2ZQF7OPVL1","3")</f>
        <v>#NAME?</v>
      </c>
      <c r="V4" s="18" t="e">
        <f ca="1">[1]!BexGetData("DP_1","00O2TNJGODT0K3B2ZQF7OQXID","3")</f>
        <v>#NAME?</v>
      </c>
      <c r="W4" s="18" t="e">
        <f ca="1">[1]!BexGetData("DP_1","00O2TNJGODT0K3B2ZQF7ORZFP","3")</f>
        <v>#NAME?</v>
      </c>
      <c r="X4" s="20" t="e">
        <f ca="1">[1]!BexGetData("DP_1","00O2TNJGODT0K3B2ZQF7OT1D1","3")</f>
        <v>#NAME?</v>
      </c>
      <c r="Y4" s="18" t="e">
        <f ca="1">[1]!BexGetData("DP_1","00O2TNJGODT0K3B2ZQF7OU3AD","3")</f>
        <v>#NAME?</v>
      </c>
      <c r="Z4" s="18" t="e">
        <f ca="1">[1]!BexGetData("DP_1","00O2TNJGODT0K3B2ZQF7OU9LX","3")</f>
        <v>#NAME?</v>
      </c>
      <c r="AA4" s="18" t="e">
        <f ca="1">[1]!BexGetData("DP_1","00O2TNJGODT0K3B2ZQF7OM0IT","3")</f>
        <v>#NAME?</v>
      </c>
      <c r="AB4" s="18" t="e">
        <f ca="1">[1]!BexGetData("DP_1","00O2TNJGODT0K3B2ZQF7OQ1WL","3")</f>
        <v>#NAME?</v>
      </c>
      <c r="AC4" s="18" t="e">
        <f ca="1">[1]!BexGetData("DP_1","00O2TNJGODT0K3B2ZQF7OR3TX","3")</f>
        <v>#NAME?</v>
      </c>
      <c r="AD4" s="18" t="e">
        <f ca="1">[1]!BexGetData("DP_1","00O2TNJGODT0K3B2ZQF7OS5R9","3")</f>
        <v>#NAME?</v>
      </c>
      <c r="AE4" s="20" t="e">
        <f ca="1">[1]!BexGetData("DP_1","00O2TNJGODT0K3B2ZQF7OT7OL","3")</f>
        <v>#NAME?</v>
      </c>
      <c r="AF4" s="18" t="e">
        <f ca="1">[1]!BexGetData("DP_1","00O2TNJGODT0K3B2ZQF7OUFXH","3")</f>
        <v>#NAME?</v>
      </c>
      <c r="AG4" s="18" t="e">
        <f ca="1">[1]!BexGetData("DP_1","00O2TNJGODT0K3B2ZQF7OMD5X","3")</f>
        <v>#NAME?</v>
      </c>
      <c r="AH4" s="18" t="e">
        <f ca="1">[1]!BexGetData("DP_1","00O2TNJGODT0K3B2ZQF7OQ885","3")</f>
        <v>#NAME?</v>
      </c>
      <c r="AI4" s="18" t="e">
        <f ca="1">[1]!BexGetData("DP_1","00O2TNJGODT0K3B2ZQF7ORA5H","3")</f>
        <v>#NAME?</v>
      </c>
      <c r="AJ4" s="18" t="e">
        <f ca="1">[1]!BexGetData("DP_1","00O2TNJGODT0K3B2ZQF7OSC2T","3")</f>
        <v>#NAME?</v>
      </c>
      <c r="AK4" s="20" t="e">
        <f ca="1">[1]!BexGetData("DP_1","00O2TNJGODT0K3B2ZQF7OTE05","3")</f>
        <v>#NAME?</v>
      </c>
      <c r="AL4" s="18" t="e">
        <f ca="1">[1]!BexGetData("DP_1","00O2TNJGODT0K3B2ZQF7OUM91","3")</f>
        <v>#NAME?</v>
      </c>
      <c r="AM4" s="18" t="e">
        <f ca="1">[1]!BexGetData("DP_1","00O2TNJGODT0K3B2ZQF7OUYW5","3")</f>
        <v>#NAME?</v>
      </c>
      <c r="AN4" s="18" t="e">
        <f ca="1">[1]!BexGetData("DP_1","00O2TNJGODT0K3B2ZQF7OW751","3")</f>
        <v>#NAME?</v>
      </c>
      <c r="AO4" s="33" t="e">
        <f ca="1">[1]!BexGetData("DP_1","00O2TNJGODT0K3B2ZQF7OWDGL","3")</f>
        <v>#NAME?</v>
      </c>
      <c r="AP4" s="33" t="e">
        <f ca="1">[1]!BexGetData("DP_1","00O2TNJGODT0K3B2ZQF7OWQ3P","3")</f>
        <v>#NAME?</v>
      </c>
      <c r="AQ4" s="18" t="e">
        <f ca="1">[1]!BexGetData("DP_1","00O2TNJGODT0K3B2ZQF7OYHB9","3")</f>
        <v>#NAME?</v>
      </c>
      <c r="AR4" s="34" t="e">
        <f ca="1">[1]!BexGetData("DP_1","00O2TNJGODT0K3B2ZQF7OZ6LH","3")</f>
        <v>#NAME?</v>
      </c>
      <c r="AS4" s="18" t="e">
        <f ca="1">[1]!BexGetData("DP_1","00O2TNJGODT0K3B2ZQF7OZCX1","3")</f>
        <v>#NAME?</v>
      </c>
      <c r="AT4" s="20" t="e">
        <f ca="1">[1]!BexGetData("DP_1","00O2TNJGODT0K3B2ZQF7OZJ8L","3")</f>
        <v>#NAME?</v>
      </c>
    </row>
    <row r="5" spans="1:46" x14ac:dyDescent="0.2">
      <c r="A5" s="17" t="s">
        <v>67</v>
      </c>
      <c r="B5" s="18" t="e">
        <f ca="1">[1]!BexGetData("DP_1","00O2TNJGODT0K3B2ZQF7OGKKL","4")</f>
        <v>#NAME?</v>
      </c>
      <c r="C5" s="32" t="e">
        <f ca="1">[1]!BexGetData("DP_1","00O2TNJGODT0K3B2ZQF7OGQW5","4")</f>
        <v>#NAME?</v>
      </c>
      <c r="D5" s="32" t="e">
        <f ca="1">[1]!BexGetData("DP_1","00O2TNJGODT0K3B2ZQF7OGX7P","4")</f>
        <v>#NAME?</v>
      </c>
      <c r="E5" s="32" t="e">
        <f ca="1">[1]!BexGetData("DP_1","00O2TNJGODT0K3B2ZQF7OH3J9","4")</f>
        <v>#NAME?</v>
      </c>
      <c r="F5" s="32" t="e">
        <f ca="1">[1]!BexGetData("DP_1","00O2TNJGODT0K3B2ZQF7OH9UT","4")</f>
        <v>#NAME?</v>
      </c>
      <c r="G5" s="18" t="e">
        <f ca="1">[1]!BexGetData("DP_1","00O2TNJGODT0K3B2ZQF7OIBS5","4")</f>
        <v>#NAME?</v>
      </c>
      <c r="H5" s="18" t="e">
        <f ca="1">[1]!BexGetData("DP_1","00O2TNJGODT0K3B2ZQF7OJDPH","4")</f>
        <v>#NAME?</v>
      </c>
      <c r="I5" s="18" t="e">
        <f ca="1">[1]!BexGetData("DP_1","00O2TNJGODT0K3BKNKUTOT6UI","4")</f>
        <v>#NAME?</v>
      </c>
      <c r="J5" s="18" t="e">
        <f ca="1">[1]!BexGetData("DP_1","00O2TNJGODT0K3B2ZQF7OJK11","4")</f>
        <v>#NAME?</v>
      </c>
      <c r="K5" s="18" t="e">
        <f ca="1">[1]!BexGetData("DP_1","00O2TNJGODT0K3B2ZQF7OJQCL","4")</f>
        <v>#NAME?</v>
      </c>
      <c r="L5" s="18" t="e">
        <f ca="1">[1]!BexGetData("DP_1","00O2TNJGODT0K3B2ZQF7OJWO5","4")</f>
        <v>#NAME?</v>
      </c>
      <c r="M5" s="18" t="e">
        <f ca="1">[1]!BexGetData("DP_1","00O2TNJGODT0K3B2ZQF7OK2ZP","4")</f>
        <v>#NAME?</v>
      </c>
      <c r="N5" s="18" t="e">
        <f ca="1">[1]!BexGetData("DP_1","00O2TNJGODT0K3B2ZQF7OK9B9","4")</f>
        <v>#NAME?</v>
      </c>
      <c r="O5" s="19" t="e">
        <f ca="1">[1]!BexGetData("DP_1","00O2TNJGODT0K3B2ZQF7OKLYD","4")</f>
        <v>#NAME?</v>
      </c>
      <c r="P5" s="18" t="e">
        <f ca="1">[1]!BexGetData("DP_1","00O2TNJGODT0K3B2ZQF7OKS9X","4")</f>
        <v>#NAME?</v>
      </c>
      <c r="Q5" s="18" t="e">
        <f ca="1">[1]!BexGetData("DP_1","00O2TNJGODT0K3B2ZQF7OLHK5","4")</f>
        <v>#NAME?</v>
      </c>
      <c r="R5" s="18" t="e">
        <f ca="1">[1]!BexGetData("DP_1","00O2TNJGODT0K3B2ZQF7ON8RP","4")</f>
        <v>#NAME?</v>
      </c>
      <c r="S5" s="18" t="e">
        <f ca="1">[1]!BexGetData("DP_1","00O2TNJGODT0K3B2ZQF7ONF39","4")</f>
        <v>#NAME?</v>
      </c>
      <c r="T5" s="18" t="e">
        <f ca="1">[1]!BexGetData("DP_1","00O2TNJGODT0K3B2ZQF7OLNVP","4")</f>
        <v>#NAME?</v>
      </c>
      <c r="U5" s="18" t="e">
        <f ca="1">[1]!BexGetData("DP_1","00O2TNJGODT0K3B2ZQF7OPVL1","4")</f>
        <v>#NAME?</v>
      </c>
      <c r="V5" s="18" t="e">
        <f ca="1">[1]!BexGetData("DP_1","00O2TNJGODT0K3B2ZQF7OQXID","4")</f>
        <v>#NAME?</v>
      </c>
      <c r="W5" s="18" t="e">
        <f ca="1">[1]!BexGetData("DP_1","00O2TNJGODT0K3B2ZQF7ORZFP","4")</f>
        <v>#NAME?</v>
      </c>
      <c r="X5" s="20" t="e">
        <f ca="1">[1]!BexGetData("DP_1","00O2TNJGODT0K3B2ZQF7OT1D1","4")</f>
        <v>#NAME?</v>
      </c>
      <c r="Y5" s="20" t="e">
        <f ca="1">[1]!BexGetData("DP_1","00O2TNJGODT0K3B2ZQF7OU3AD","4")</f>
        <v>#NAME?</v>
      </c>
      <c r="Z5" s="18" t="e">
        <f ca="1">[1]!BexGetData("DP_1","00O2TNJGODT0K3B2ZQF7OU9LX","4")</f>
        <v>#NAME?</v>
      </c>
      <c r="AA5" s="18" t="e">
        <f ca="1">[1]!BexGetData("DP_1","00O2TNJGODT0K3B2ZQF7OM0IT","4")</f>
        <v>#NAME?</v>
      </c>
      <c r="AB5" s="18" t="e">
        <f ca="1">[1]!BexGetData("DP_1","00O2TNJGODT0K3B2ZQF7OQ1WL","4")</f>
        <v>#NAME?</v>
      </c>
      <c r="AC5" s="18" t="e">
        <f ca="1">[1]!BexGetData("DP_1","00O2TNJGODT0K3B2ZQF7OR3TX","4")</f>
        <v>#NAME?</v>
      </c>
      <c r="AD5" s="18" t="e">
        <f ca="1">[1]!BexGetData("DP_1","00O2TNJGODT0K3B2ZQF7OS5R9","4")</f>
        <v>#NAME?</v>
      </c>
      <c r="AE5" s="20" t="e">
        <f ca="1">[1]!BexGetData("DP_1","00O2TNJGODT0K3B2ZQF7OT7OL","4")</f>
        <v>#NAME?</v>
      </c>
      <c r="AF5" s="20" t="e">
        <f ca="1">[1]!BexGetData("DP_1","00O2TNJGODT0K3B2ZQF7OUFXH","4")</f>
        <v>#NAME?</v>
      </c>
      <c r="AG5" s="18" t="e">
        <f ca="1">[1]!BexGetData("DP_1","00O2TNJGODT0K3B2ZQF7OMD5X","4")</f>
        <v>#NAME?</v>
      </c>
      <c r="AH5" s="18" t="e">
        <f ca="1">[1]!BexGetData("DP_1","00O2TNJGODT0K3B2ZQF7OQ885","4")</f>
        <v>#NAME?</v>
      </c>
      <c r="AI5" s="18" t="e">
        <f ca="1">[1]!BexGetData("DP_1","00O2TNJGODT0K3B2ZQF7ORA5H","4")</f>
        <v>#NAME?</v>
      </c>
      <c r="AJ5" s="18" t="e">
        <f ca="1">[1]!BexGetData("DP_1","00O2TNJGODT0K3B2ZQF7OSC2T","4")</f>
        <v>#NAME?</v>
      </c>
      <c r="AK5" s="20" t="e">
        <f ca="1">[1]!BexGetData("DP_1","00O2TNJGODT0K3B2ZQF7OTE05","4")</f>
        <v>#NAME?</v>
      </c>
      <c r="AL5" s="18" t="e">
        <f ca="1">[1]!BexGetData("DP_1","00O2TNJGODT0K3B2ZQF7OUM91","4")</f>
        <v>#NAME?</v>
      </c>
      <c r="AM5" s="18" t="e">
        <f ca="1">[1]!BexGetData("DP_1","00O2TNJGODT0K3B2ZQF7OUYW5","4")</f>
        <v>#NAME?</v>
      </c>
      <c r="AN5" s="18" t="e">
        <f ca="1">[1]!BexGetData("DP_1","00O2TNJGODT0K3B2ZQF7OW751","4")</f>
        <v>#NAME?</v>
      </c>
      <c r="AO5" s="33" t="e">
        <f ca="1">[1]!BexGetData("DP_1","00O2TNJGODT0K3B2ZQF7OWDGL","4")</f>
        <v>#NAME?</v>
      </c>
      <c r="AP5" s="33" t="e">
        <f ca="1">[1]!BexGetData("DP_1","00O2TNJGODT0K3B2ZQF7OWQ3P","4")</f>
        <v>#NAME?</v>
      </c>
      <c r="AQ5" s="19" t="e">
        <f ca="1">[1]!BexGetData("DP_1","00O2TNJGODT0K3B2ZQF7OYHB9","4")</f>
        <v>#NAME?</v>
      </c>
      <c r="AR5" s="21" t="e">
        <f ca="1">[1]!BexGetData("DP_1","00O2TNJGODT0K3B2ZQF7OZ6LH","4")</f>
        <v>#NAME?</v>
      </c>
      <c r="AS5" s="18" t="e">
        <f ca="1">[1]!BexGetData("DP_1","00O2TNJGODT0K3B2ZQF7OZCX1","4")</f>
        <v>#NAME?</v>
      </c>
      <c r="AT5" s="20" t="e">
        <f ca="1">[1]!BexGetData("DP_1","00O2TNJGODT0K3B2ZQF7OZJ8L","4")</f>
        <v>#NAME?</v>
      </c>
    </row>
    <row r="6" spans="1:46" x14ac:dyDescent="0.2">
      <c r="A6" s="17" t="s">
        <v>66</v>
      </c>
      <c r="B6" s="18" t="e">
        <f ca="1">[1]!BexGetData("DP_1","00O2TNJGODT0K3B2ZQF7OGKKL","5")</f>
        <v>#NAME?</v>
      </c>
      <c r="C6" s="32" t="e">
        <f ca="1">[1]!BexGetData("DP_1","00O2TNJGODT0K3B2ZQF7OGQW5","5")</f>
        <v>#NAME?</v>
      </c>
      <c r="D6" s="32" t="e">
        <f ca="1">[1]!BexGetData("DP_1","00O2TNJGODT0K3B2ZQF7OGX7P","5")</f>
        <v>#NAME?</v>
      </c>
      <c r="E6" s="32" t="e">
        <f ca="1">[1]!BexGetData("DP_1","00O2TNJGODT0K3B2ZQF7OH3J9","5")</f>
        <v>#NAME?</v>
      </c>
      <c r="F6" s="32" t="e">
        <f ca="1">[1]!BexGetData("DP_1","00O2TNJGODT0K3B2ZQF7OH9UT","5")</f>
        <v>#NAME?</v>
      </c>
      <c r="G6" s="18" t="e">
        <f ca="1">[1]!BexGetData("DP_1","00O2TNJGODT0K3B2ZQF7OIBS5","5")</f>
        <v>#NAME?</v>
      </c>
      <c r="H6" s="18" t="e">
        <f ca="1">[1]!BexGetData("DP_1","00O2TNJGODT0K3B2ZQF7OJDPH","5")</f>
        <v>#NAME?</v>
      </c>
      <c r="I6" s="18" t="e">
        <f ca="1">[1]!BexGetData("DP_1","00O2TNJGODT0K3BKNKUTOT6UI","5")</f>
        <v>#NAME?</v>
      </c>
      <c r="J6" s="18" t="e">
        <f ca="1">[1]!BexGetData("DP_1","00O2TNJGODT0K3B2ZQF7OJK11","5")</f>
        <v>#NAME?</v>
      </c>
      <c r="K6" s="18" t="e">
        <f ca="1">[1]!BexGetData("DP_1","00O2TNJGODT0K3B2ZQF7OJQCL","5")</f>
        <v>#NAME?</v>
      </c>
      <c r="L6" s="18" t="e">
        <f ca="1">[1]!BexGetData("DP_1","00O2TNJGODT0K3B2ZQF7OJWO5","5")</f>
        <v>#NAME?</v>
      </c>
      <c r="M6" s="18" t="e">
        <f ca="1">[1]!BexGetData("DP_1","00O2TNJGODT0K3B2ZQF7OK2ZP","5")</f>
        <v>#NAME?</v>
      </c>
      <c r="N6" s="18" t="e">
        <f ca="1">[1]!BexGetData("DP_1","00O2TNJGODT0K3B2ZQF7OK9B9","5")</f>
        <v>#NAME?</v>
      </c>
      <c r="O6" s="19" t="e">
        <f ca="1">[1]!BexGetData("DP_1","00O2TNJGODT0K3B2ZQF7OKLYD","5")</f>
        <v>#NAME?</v>
      </c>
      <c r="P6" s="18" t="e">
        <f ca="1">[1]!BexGetData("DP_1","00O2TNJGODT0K3B2ZQF7OKS9X","5")</f>
        <v>#NAME?</v>
      </c>
      <c r="Q6" s="18" t="e">
        <f ca="1">[1]!BexGetData("DP_1","00O2TNJGODT0K3B2ZQF7OLHK5","5")</f>
        <v>#NAME?</v>
      </c>
      <c r="R6" s="18" t="e">
        <f ca="1">[1]!BexGetData("DP_1","00O2TNJGODT0K3B2ZQF7ON8RP","5")</f>
        <v>#NAME?</v>
      </c>
      <c r="S6" s="18" t="e">
        <f ca="1">[1]!BexGetData("DP_1","00O2TNJGODT0K3B2ZQF7ONF39","5")</f>
        <v>#NAME?</v>
      </c>
      <c r="T6" s="18" t="e">
        <f ca="1">[1]!BexGetData("DP_1","00O2TNJGODT0K3B2ZQF7OLNVP","5")</f>
        <v>#NAME?</v>
      </c>
      <c r="U6" s="18" t="e">
        <f ca="1">[1]!BexGetData("DP_1","00O2TNJGODT0K3B2ZQF7OPVL1","5")</f>
        <v>#NAME?</v>
      </c>
      <c r="V6" s="18" t="e">
        <f ca="1">[1]!BexGetData("DP_1","00O2TNJGODT0K3B2ZQF7OQXID","5")</f>
        <v>#NAME?</v>
      </c>
      <c r="W6" s="18" t="e">
        <f ca="1">[1]!BexGetData("DP_1","00O2TNJGODT0K3B2ZQF7ORZFP","5")</f>
        <v>#NAME?</v>
      </c>
      <c r="X6" s="20" t="e">
        <f ca="1">[1]!BexGetData("DP_1","00O2TNJGODT0K3B2ZQF7OT1D1","5")</f>
        <v>#NAME?</v>
      </c>
      <c r="Y6" s="20" t="e">
        <f ca="1">[1]!BexGetData("DP_1","00O2TNJGODT0K3B2ZQF7OU3AD","5")</f>
        <v>#NAME?</v>
      </c>
      <c r="Z6" s="18" t="e">
        <f ca="1">[1]!BexGetData("DP_1","00O2TNJGODT0K3B2ZQF7OU9LX","5")</f>
        <v>#NAME?</v>
      </c>
      <c r="AA6" s="18" t="e">
        <f ca="1">[1]!BexGetData("DP_1","00O2TNJGODT0K3B2ZQF7OM0IT","5")</f>
        <v>#NAME?</v>
      </c>
      <c r="AB6" s="18" t="e">
        <f ca="1">[1]!BexGetData("DP_1","00O2TNJGODT0K3B2ZQF7OQ1WL","5")</f>
        <v>#NAME?</v>
      </c>
      <c r="AC6" s="18" t="e">
        <f ca="1">[1]!BexGetData("DP_1","00O2TNJGODT0K3B2ZQF7OR3TX","5")</f>
        <v>#NAME?</v>
      </c>
      <c r="AD6" s="18" t="e">
        <f ca="1">[1]!BexGetData("DP_1","00O2TNJGODT0K3B2ZQF7OS5R9","5")</f>
        <v>#NAME?</v>
      </c>
      <c r="AE6" s="20" t="e">
        <f ca="1">[1]!BexGetData("DP_1","00O2TNJGODT0K3B2ZQF7OT7OL","5")</f>
        <v>#NAME?</v>
      </c>
      <c r="AF6" s="20" t="e">
        <f ca="1">[1]!BexGetData("DP_1","00O2TNJGODT0K3B2ZQF7OUFXH","5")</f>
        <v>#NAME?</v>
      </c>
      <c r="AG6" s="18" t="e">
        <f ca="1">[1]!BexGetData("DP_1","00O2TNJGODT0K3B2ZQF7OMD5X","5")</f>
        <v>#NAME?</v>
      </c>
      <c r="AH6" s="18" t="e">
        <f ca="1">[1]!BexGetData("DP_1","00O2TNJGODT0K3B2ZQF7OQ885","5")</f>
        <v>#NAME?</v>
      </c>
      <c r="AI6" s="18" t="e">
        <f ca="1">[1]!BexGetData("DP_1","00O2TNJGODT0K3B2ZQF7ORA5H","5")</f>
        <v>#NAME?</v>
      </c>
      <c r="AJ6" s="18" t="e">
        <f ca="1">[1]!BexGetData("DP_1","00O2TNJGODT0K3B2ZQF7OSC2T","5")</f>
        <v>#NAME?</v>
      </c>
      <c r="AK6" s="20" t="e">
        <f ca="1">[1]!BexGetData("DP_1","00O2TNJGODT0K3B2ZQF7OTE05","5")</f>
        <v>#NAME?</v>
      </c>
      <c r="AL6" s="20" t="e">
        <f ca="1">[1]!BexGetData("DP_1","00O2TNJGODT0K3B2ZQF7OUM91","5")</f>
        <v>#NAME?</v>
      </c>
      <c r="AM6" s="18" t="e">
        <f ca="1">[1]!BexGetData("DP_1","00O2TNJGODT0K3B2ZQF7OUYW5","5")</f>
        <v>#NAME?</v>
      </c>
      <c r="AN6" s="18" t="e">
        <f ca="1">[1]!BexGetData("DP_1","00O2TNJGODT0K3B2ZQF7OW751","5")</f>
        <v>#NAME?</v>
      </c>
      <c r="AO6" s="33" t="e">
        <f ca="1">[1]!BexGetData("DP_1","00O2TNJGODT0K3B2ZQF7OWDGL","5")</f>
        <v>#NAME?</v>
      </c>
      <c r="AP6" s="33" t="e">
        <f ca="1">[1]!BexGetData("DP_1","00O2TNJGODT0K3B2ZQF7OWQ3P","5")</f>
        <v>#NAME?</v>
      </c>
      <c r="AQ6" s="18" t="e">
        <f ca="1">[1]!BexGetData("DP_1","00O2TNJGODT0K3B2ZQF7OYHB9","5")</f>
        <v>#NAME?</v>
      </c>
      <c r="AR6" s="34" t="e">
        <f ca="1">[1]!BexGetData("DP_1","00O2TNJGODT0K3B2ZQF7OZ6LH","5")</f>
        <v>#NAME?</v>
      </c>
      <c r="AS6" s="18" t="e">
        <f ca="1">[1]!BexGetData("DP_1","00O2TNJGODT0K3B2ZQF7OZCX1","5")</f>
        <v>#NAME?</v>
      </c>
      <c r="AT6" s="20" t="e">
        <f ca="1">[1]!BexGetData("DP_1","00O2TNJGODT0K3B2ZQF7OZJ8L","5")</f>
        <v>#NAME?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16" sqref="G16"/>
    </sheetView>
  </sheetViews>
  <sheetFormatPr baseColWidth="10" defaultRowHeight="16.5" x14ac:dyDescent="0.3"/>
  <cols>
    <col min="1" max="1" width="2.7109375" style="39" customWidth="1"/>
    <col min="2" max="2" width="3.28515625" style="39" customWidth="1"/>
    <col min="3" max="3" width="49.140625" style="39" customWidth="1"/>
    <col min="4" max="4" width="13.85546875" style="39" bestFit="1" customWidth="1"/>
    <col min="5" max="5" width="14.42578125" style="39" bestFit="1" customWidth="1"/>
    <col min="6" max="8" width="13.85546875" style="39" bestFit="1" customWidth="1"/>
    <col min="9" max="9" width="8.85546875" style="39" customWidth="1"/>
    <col min="10" max="16384" width="11.42578125" style="39"/>
  </cols>
  <sheetData>
    <row r="1" spans="1:9" x14ac:dyDescent="0.3">
      <c r="A1" s="276" t="s">
        <v>0</v>
      </c>
      <c r="B1" s="276"/>
      <c r="C1" s="276"/>
      <c r="D1" s="276"/>
      <c r="E1" s="276"/>
      <c r="F1" s="276"/>
      <c r="G1" s="276"/>
      <c r="H1" s="276"/>
      <c r="I1" s="276"/>
    </row>
    <row r="2" spans="1:9" x14ac:dyDescent="0.3">
      <c r="A2" s="276" t="s">
        <v>1</v>
      </c>
      <c r="B2" s="276"/>
      <c r="C2" s="276"/>
      <c r="D2" s="276"/>
      <c r="E2" s="276"/>
      <c r="F2" s="276"/>
      <c r="G2" s="276"/>
      <c r="H2" s="276"/>
      <c r="I2" s="276"/>
    </row>
    <row r="3" spans="1:9" x14ac:dyDescent="0.3">
      <c r="A3" s="276" t="s">
        <v>105</v>
      </c>
      <c r="B3" s="276"/>
      <c r="C3" s="276"/>
      <c r="D3" s="276"/>
      <c r="E3" s="276"/>
      <c r="F3" s="276"/>
      <c r="G3" s="276"/>
      <c r="H3" s="276"/>
      <c r="I3" s="276"/>
    </row>
    <row r="4" spans="1:9" x14ac:dyDescent="0.3">
      <c r="A4" s="276" t="s">
        <v>71</v>
      </c>
      <c r="B4" s="276"/>
      <c r="C4" s="276"/>
      <c r="D4" s="276"/>
      <c r="E4" s="276"/>
      <c r="F4" s="276"/>
      <c r="G4" s="276"/>
      <c r="H4" s="276"/>
      <c r="I4" s="276"/>
    </row>
    <row r="5" spans="1:9" x14ac:dyDescent="0.3">
      <c r="A5" s="277" t="s">
        <v>104</v>
      </c>
      <c r="B5" s="277"/>
      <c r="C5" s="277"/>
      <c r="D5" s="277"/>
      <c r="E5" s="277"/>
      <c r="F5" s="277"/>
      <c r="G5" s="277"/>
      <c r="H5" s="277"/>
      <c r="I5" s="277"/>
    </row>
    <row r="6" spans="1:9" x14ac:dyDescent="0.3">
      <c r="A6" s="265" t="s">
        <v>103</v>
      </c>
      <c r="B6" s="266"/>
      <c r="C6" s="267"/>
      <c r="D6" s="274" t="s">
        <v>3</v>
      </c>
      <c r="E6" s="274"/>
      <c r="F6" s="274"/>
      <c r="G6" s="274"/>
      <c r="H6" s="274"/>
      <c r="I6" s="275"/>
    </row>
    <row r="7" spans="1:9" ht="33" x14ac:dyDescent="0.3">
      <c r="A7" s="268"/>
      <c r="B7" s="269"/>
      <c r="C7" s="270"/>
      <c r="D7" s="56" t="s">
        <v>4</v>
      </c>
      <c r="E7" s="56" t="s">
        <v>5</v>
      </c>
      <c r="F7" s="56" t="s">
        <v>6</v>
      </c>
      <c r="G7" s="56" t="s">
        <v>7</v>
      </c>
      <c r="H7" s="56" t="s">
        <v>8</v>
      </c>
      <c r="I7" s="56" t="s">
        <v>72</v>
      </c>
    </row>
    <row r="8" spans="1:9" x14ac:dyDescent="0.3">
      <c r="A8" s="271"/>
      <c r="B8" s="272"/>
      <c r="C8" s="273"/>
      <c r="D8" s="56">
        <v>1</v>
      </c>
      <c r="E8" s="56">
        <v>2</v>
      </c>
      <c r="F8" s="56" t="s">
        <v>9</v>
      </c>
      <c r="G8" s="56">
        <v>4</v>
      </c>
      <c r="H8" s="56">
        <v>5</v>
      </c>
      <c r="I8" s="55"/>
    </row>
    <row r="9" spans="1:9" x14ac:dyDescent="0.3">
      <c r="A9" s="54"/>
      <c r="B9" s="53"/>
      <c r="C9" s="53"/>
      <c r="D9" s="53"/>
      <c r="E9" s="53"/>
      <c r="F9" s="53"/>
      <c r="G9" s="53"/>
      <c r="H9" s="53"/>
      <c r="I9" s="52"/>
    </row>
    <row r="10" spans="1:9" x14ac:dyDescent="0.3">
      <c r="A10" s="51" t="s">
        <v>102</v>
      </c>
      <c r="B10" s="50"/>
      <c r="C10" s="50"/>
      <c r="D10" s="49">
        <v>48305234231.529991</v>
      </c>
      <c r="E10" s="49">
        <v>3586804860.52</v>
      </c>
      <c r="F10" s="49">
        <v>51892039092.049988</v>
      </c>
      <c r="G10" s="49">
        <v>24256964658.149998</v>
      </c>
      <c r="H10" s="49">
        <v>23064760395.820004</v>
      </c>
      <c r="I10" s="48">
        <v>50.216017050833159</v>
      </c>
    </row>
    <row r="11" spans="1:9" x14ac:dyDescent="0.3">
      <c r="A11" s="47"/>
      <c r="B11" s="50" t="s">
        <v>101</v>
      </c>
      <c r="C11" s="50"/>
      <c r="D11" s="49">
        <v>113891792</v>
      </c>
      <c r="E11" s="49">
        <v>158375729.06</v>
      </c>
      <c r="F11" s="49">
        <v>272267521.06</v>
      </c>
      <c r="G11" s="49">
        <v>221584806.36000001</v>
      </c>
      <c r="H11" s="49">
        <v>198939606.99000001</v>
      </c>
      <c r="I11" s="48">
        <v>194.55730959084391</v>
      </c>
    </row>
    <row r="12" spans="1:9" x14ac:dyDescent="0.3">
      <c r="A12" s="47"/>
      <c r="B12" s="46"/>
      <c r="C12" s="46" t="s">
        <v>100</v>
      </c>
      <c r="D12" s="45">
        <v>0</v>
      </c>
      <c r="E12" s="45">
        <v>145897897.75999999</v>
      </c>
      <c r="F12" s="45">
        <v>145897897.75999999</v>
      </c>
      <c r="G12" s="45">
        <v>142057718.46000001</v>
      </c>
      <c r="H12" s="45">
        <v>141999718.46000001</v>
      </c>
      <c r="I12" s="44">
        <v>0</v>
      </c>
    </row>
    <row r="13" spans="1:9" x14ac:dyDescent="0.3">
      <c r="A13" s="47"/>
      <c r="B13" s="46"/>
      <c r="C13" s="46" t="s">
        <v>99</v>
      </c>
      <c r="D13" s="45">
        <v>113891792</v>
      </c>
      <c r="E13" s="45">
        <v>12477831.300000001</v>
      </c>
      <c r="F13" s="45">
        <v>126369623.3</v>
      </c>
      <c r="G13" s="45">
        <v>79527087.900000006</v>
      </c>
      <c r="H13" s="45">
        <v>56939888.530000001</v>
      </c>
      <c r="I13" s="44">
        <v>69.826882608010948</v>
      </c>
    </row>
    <row r="14" spans="1:9" x14ac:dyDescent="0.3">
      <c r="A14" s="47"/>
      <c r="B14" s="50" t="s">
        <v>98</v>
      </c>
      <c r="C14" s="50"/>
      <c r="D14" s="49">
        <v>38423846527.289993</v>
      </c>
      <c r="E14" s="49">
        <v>3020171476.1700001</v>
      </c>
      <c r="F14" s="49">
        <v>41444018003.459991</v>
      </c>
      <c r="G14" s="49">
        <v>19348863573.859997</v>
      </c>
      <c r="H14" s="49">
        <v>18340320150.830002</v>
      </c>
      <c r="I14" s="48">
        <v>50.35639406928648</v>
      </c>
    </row>
    <row r="15" spans="1:9" x14ac:dyDescent="0.3">
      <c r="A15" s="47"/>
      <c r="B15" s="46"/>
      <c r="C15" s="46" t="s">
        <v>97</v>
      </c>
      <c r="D15" s="45">
        <v>27072607095.419998</v>
      </c>
      <c r="E15" s="45">
        <v>1643978568.97</v>
      </c>
      <c r="F15" s="45">
        <v>28716585664.389999</v>
      </c>
      <c r="G15" s="45">
        <v>15069078213.01</v>
      </c>
      <c r="H15" s="45">
        <v>14455278547.620001</v>
      </c>
      <c r="I15" s="44">
        <v>55.661717986367506</v>
      </c>
    </row>
    <row r="16" spans="1:9" x14ac:dyDescent="0.3">
      <c r="A16" s="47"/>
      <c r="B16" s="46"/>
      <c r="C16" s="46" t="s">
        <v>96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4">
        <v>0</v>
      </c>
    </row>
    <row r="17" spans="1:9" x14ac:dyDescent="0.3">
      <c r="A17" s="47"/>
      <c r="B17" s="46"/>
      <c r="C17" s="46" t="s">
        <v>95</v>
      </c>
      <c r="D17" s="45">
        <v>1682141255.4100001</v>
      </c>
      <c r="E17" s="45">
        <v>298090761.97000003</v>
      </c>
      <c r="F17" s="45">
        <v>1980232017.3800001</v>
      </c>
      <c r="G17" s="45">
        <v>892476805.48000002</v>
      </c>
      <c r="H17" s="45">
        <v>804208197.98000002</v>
      </c>
      <c r="I17" s="44">
        <v>53.055996493140547</v>
      </c>
    </row>
    <row r="18" spans="1:9" x14ac:dyDescent="0.3">
      <c r="A18" s="47"/>
      <c r="B18" s="46"/>
      <c r="C18" s="46" t="s">
        <v>94</v>
      </c>
      <c r="D18" s="45">
        <v>714811430.34000003</v>
      </c>
      <c r="E18" s="45">
        <v>45632073.039999999</v>
      </c>
      <c r="F18" s="45">
        <v>760443503.38</v>
      </c>
      <c r="G18" s="45">
        <v>398642161.80000001</v>
      </c>
      <c r="H18" s="45">
        <v>371200452.44999999</v>
      </c>
      <c r="I18" s="44">
        <v>55.768856635432627</v>
      </c>
    </row>
    <row r="19" spans="1:9" x14ac:dyDescent="0.3">
      <c r="A19" s="47"/>
      <c r="B19" s="46"/>
      <c r="C19" s="46" t="s">
        <v>93</v>
      </c>
      <c r="D19" s="45">
        <v>205281134.88999999</v>
      </c>
      <c r="E19" s="45">
        <v>23396680.030000001</v>
      </c>
      <c r="F19" s="45">
        <v>228677814.91999999</v>
      </c>
      <c r="G19" s="45">
        <v>113850137.89</v>
      </c>
      <c r="H19" s="45">
        <v>106030174.75</v>
      </c>
      <c r="I19" s="44">
        <v>55.460594540753426</v>
      </c>
    </row>
    <row r="20" spans="1:9" x14ac:dyDescent="0.3">
      <c r="A20" s="47"/>
      <c r="B20" s="46"/>
      <c r="C20" s="46" t="s">
        <v>92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4">
        <v>0</v>
      </c>
    </row>
    <row r="21" spans="1:9" x14ac:dyDescent="0.3">
      <c r="A21" s="47"/>
      <c r="B21" s="46"/>
      <c r="C21" s="46" t="s">
        <v>91</v>
      </c>
      <c r="D21" s="45">
        <v>1171786857.23</v>
      </c>
      <c r="E21" s="45">
        <v>1454848.56</v>
      </c>
      <c r="F21" s="45">
        <v>1173241705.79</v>
      </c>
      <c r="G21" s="45">
        <v>564063932.82000005</v>
      </c>
      <c r="H21" s="45">
        <v>546128152.02999997</v>
      </c>
      <c r="I21" s="44">
        <v>48.137076238710939</v>
      </c>
    </row>
    <row r="22" spans="1:9" x14ac:dyDescent="0.3">
      <c r="A22" s="47"/>
      <c r="B22" s="46"/>
      <c r="C22" s="46" t="s">
        <v>90</v>
      </c>
      <c r="D22" s="45">
        <v>7577218754</v>
      </c>
      <c r="E22" s="45">
        <v>1007618543.6</v>
      </c>
      <c r="F22" s="45">
        <v>8584837297.6000004</v>
      </c>
      <c r="G22" s="45">
        <v>2310752322.8600001</v>
      </c>
      <c r="H22" s="45">
        <v>2057474626</v>
      </c>
      <c r="I22" s="44">
        <v>30.496048720253171</v>
      </c>
    </row>
    <row r="23" spans="1:9" x14ac:dyDescent="0.3">
      <c r="A23" s="47"/>
      <c r="B23" s="50" t="s">
        <v>89</v>
      </c>
      <c r="C23" s="50"/>
      <c r="D23" s="49">
        <v>1765386923.2399998</v>
      </c>
      <c r="E23" s="49">
        <v>407759154.38999999</v>
      </c>
      <c r="F23" s="49">
        <v>2173146077.6299996</v>
      </c>
      <c r="G23" s="49">
        <v>880372130.97000003</v>
      </c>
      <c r="H23" s="49">
        <v>719854991.94000006</v>
      </c>
      <c r="I23" s="48">
        <v>49.868508675382081</v>
      </c>
    </row>
    <row r="24" spans="1:9" x14ac:dyDescent="0.3">
      <c r="A24" s="47"/>
      <c r="B24" s="46"/>
      <c r="C24" s="46" t="s">
        <v>88</v>
      </c>
      <c r="D24" s="45">
        <v>1647416803.8699999</v>
      </c>
      <c r="E24" s="45">
        <v>408322512.52999997</v>
      </c>
      <c r="F24" s="45">
        <v>2055739316.3999999</v>
      </c>
      <c r="G24" s="45">
        <v>833426579.77999997</v>
      </c>
      <c r="H24" s="45">
        <v>674741507.57000005</v>
      </c>
      <c r="I24" s="44">
        <v>50.589904013493779</v>
      </c>
    </row>
    <row r="25" spans="1:9" x14ac:dyDescent="0.3">
      <c r="A25" s="47"/>
      <c r="B25" s="46"/>
      <c r="C25" s="46" t="s">
        <v>87</v>
      </c>
      <c r="D25" s="45">
        <v>117970119.37</v>
      </c>
      <c r="E25" s="45">
        <v>-563358.14</v>
      </c>
      <c r="F25" s="45">
        <v>117406761.23</v>
      </c>
      <c r="G25" s="45">
        <v>46945551.189999998</v>
      </c>
      <c r="H25" s="45">
        <v>45113484.369999997</v>
      </c>
      <c r="I25" s="44">
        <v>39.794442389907701</v>
      </c>
    </row>
    <row r="26" spans="1:9" x14ac:dyDescent="0.3">
      <c r="A26" s="47"/>
      <c r="B26" s="46"/>
      <c r="C26" s="46" t="s">
        <v>86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4">
        <v>0</v>
      </c>
    </row>
    <row r="27" spans="1:9" x14ac:dyDescent="0.3">
      <c r="A27" s="47"/>
      <c r="B27" s="46" t="s">
        <v>85</v>
      </c>
      <c r="C27" s="50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8">
        <v>0</v>
      </c>
    </row>
    <row r="28" spans="1:9" x14ac:dyDescent="0.3">
      <c r="A28" s="47"/>
      <c r="B28" s="46"/>
      <c r="C28" s="46" t="s">
        <v>84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4">
        <v>0</v>
      </c>
    </row>
    <row r="29" spans="1:9" x14ac:dyDescent="0.3">
      <c r="A29" s="47"/>
      <c r="B29" s="46"/>
      <c r="C29" s="46" t="s">
        <v>83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4">
        <v>0</v>
      </c>
    </row>
    <row r="30" spans="1:9" x14ac:dyDescent="0.3">
      <c r="A30" s="47"/>
      <c r="B30" s="50" t="s">
        <v>82</v>
      </c>
      <c r="C30" s="50"/>
      <c r="D30" s="49">
        <v>5828413016</v>
      </c>
      <c r="E30" s="49">
        <v>0</v>
      </c>
      <c r="F30" s="49">
        <v>5828413016</v>
      </c>
      <c r="G30" s="49">
        <v>2665564007</v>
      </c>
      <c r="H30" s="49">
        <v>2665564007</v>
      </c>
      <c r="I30" s="48">
        <v>45.733958792600433</v>
      </c>
    </row>
    <row r="31" spans="1:9" x14ac:dyDescent="0.3">
      <c r="A31" s="47"/>
      <c r="B31" s="46"/>
      <c r="C31" s="46" t="s">
        <v>64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4">
        <v>0</v>
      </c>
    </row>
    <row r="32" spans="1:9" x14ac:dyDescent="0.3">
      <c r="A32" s="47"/>
      <c r="B32" s="46"/>
      <c r="C32" s="46" t="s">
        <v>81</v>
      </c>
      <c r="D32" s="45">
        <v>5828413016</v>
      </c>
      <c r="E32" s="45">
        <v>0</v>
      </c>
      <c r="F32" s="45">
        <v>5828413016</v>
      </c>
      <c r="G32" s="45">
        <v>2665564007</v>
      </c>
      <c r="H32" s="45">
        <v>2665564007</v>
      </c>
      <c r="I32" s="44">
        <v>45.733958792600433</v>
      </c>
    </row>
    <row r="33" spans="1:9" x14ac:dyDescent="0.3">
      <c r="A33" s="47"/>
      <c r="B33" s="46"/>
      <c r="C33" s="46" t="s">
        <v>80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4">
        <v>0</v>
      </c>
    </row>
    <row r="34" spans="1:9" x14ac:dyDescent="0.3">
      <c r="A34" s="47"/>
      <c r="B34" s="46"/>
      <c r="C34" s="46" t="s">
        <v>79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4">
        <v>0</v>
      </c>
    </row>
    <row r="35" spans="1:9" x14ac:dyDescent="0.3">
      <c r="A35" s="47"/>
      <c r="B35" s="50" t="s">
        <v>78</v>
      </c>
      <c r="C35" s="50"/>
      <c r="D35" s="49">
        <v>2173695973</v>
      </c>
      <c r="E35" s="49">
        <v>498500.9</v>
      </c>
      <c r="F35" s="49">
        <v>2174194473.9000001</v>
      </c>
      <c r="G35" s="49">
        <v>1140580139.96</v>
      </c>
      <c r="H35" s="49">
        <v>1140081639.0599999</v>
      </c>
      <c r="I35" s="48">
        <v>52.471925886941875</v>
      </c>
    </row>
    <row r="36" spans="1:9" x14ac:dyDescent="0.3">
      <c r="A36" s="47"/>
      <c r="B36" s="46"/>
      <c r="C36" s="46" t="s">
        <v>77</v>
      </c>
      <c r="D36" s="45">
        <v>2173695973</v>
      </c>
      <c r="E36" s="45">
        <v>498500.9</v>
      </c>
      <c r="F36" s="45">
        <v>2174194473.9000001</v>
      </c>
      <c r="G36" s="45">
        <v>1140580139.96</v>
      </c>
      <c r="H36" s="45">
        <v>1140081639.0599999</v>
      </c>
      <c r="I36" s="44">
        <v>52.471925886941875</v>
      </c>
    </row>
    <row r="37" spans="1:9" x14ac:dyDescent="0.3">
      <c r="A37" s="51" t="s">
        <v>76</v>
      </c>
      <c r="B37" s="50"/>
      <c r="C37" s="50"/>
      <c r="D37" s="49">
        <v>4142750947</v>
      </c>
      <c r="E37" s="49">
        <v>-16333001.6</v>
      </c>
      <c r="F37" s="49">
        <v>4126417945.4000001</v>
      </c>
      <c r="G37" s="49">
        <v>2391823505.71</v>
      </c>
      <c r="H37" s="49">
        <v>2391823505.71</v>
      </c>
      <c r="I37" s="48">
        <v>57.735150780474854</v>
      </c>
    </row>
    <row r="38" spans="1:9" x14ac:dyDescent="0.3">
      <c r="A38" s="51" t="s">
        <v>75</v>
      </c>
      <c r="B38" s="50"/>
      <c r="C38" s="50"/>
      <c r="D38" s="49">
        <v>3003894765.4699998</v>
      </c>
      <c r="E38" s="49">
        <v>1511460531.05</v>
      </c>
      <c r="F38" s="49">
        <v>4515355296.5199995</v>
      </c>
      <c r="G38" s="49">
        <v>4145379504.1100001</v>
      </c>
      <c r="H38" s="49">
        <v>4144703596.71</v>
      </c>
      <c r="I38" s="48">
        <v>138.00015738771728</v>
      </c>
    </row>
    <row r="39" spans="1:9" x14ac:dyDescent="0.3">
      <c r="A39" s="51" t="s">
        <v>74</v>
      </c>
      <c r="B39" s="50"/>
      <c r="C39" s="50"/>
      <c r="D39" s="49">
        <v>1000000000</v>
      </c>
      <c r="E39" s="49">
        <v>921628861.72000003</v>
      </c>
      <c r="F39" s="49">
        <v>1921628861.72</v>
      </c>
      <c r="G39" s="49">
        <v>1840747358.8399999</v>
      </c>
      <c r="H39" s="49">
        <v>1682941872.96</v>
      </c>
      <c r="I39" s="48">
        <v>184.07473588399998</v>
      </c>
    </row>
    <row r="40" spans="1:9" x14ac:dyDescent="0.3">
      <c r="A40" s="47"/>
      <c r="B40" s="46"/>
      <c r="C40" s="46"/>
      <c r="D40" s="45"/>
      <c r="E40" s="45"/>
      <c r="F40" s="45"/>
      <c r="G40" s="45"/>
      <c r="H40" s="45"/>
      <c r="I40" s="44"/>
    </row>
    <row r="41" spans="1:9" x14ac:dyDescent="0.3">
      <c r="A41" s="47"/>
      <c r="B41" s="46"/>
      <c r="C41" s="46"/>
      <c r="D41" s="45"/>
      <c r="E41" s="45"/>
      <c r="F41" s="45"/>
      <c r="G41" s="45"/>
      <c r="H41" s="45"/>
      <c r="I41" s="44"/>
    </row>
    <row r="42" spans="1:9" x14ac:dyDescent="0.3">
      <c r="A42" s="43" t="s">
        <v>11</v>
      </c>
      <c r="B42" s="42"/>
      <c r="C42" s="42"/>
      <c r="D42" s="41">
        <v>56451879943.999992</v>
      </c>
      <c r="E42" s="41">
        <v>6003561251.6900005</v>
      </c>
      <c r="F42" s="41">
        <v>62455441195.689987</v>
      </c>
      <c r="G42" s="41">
        <v>32634915026.809998</v>
      </c>
      <c r="H42" s="41">
        <v>31284229371.200001</v>
      </c>
      <c r="I42" s="40">
        <v>57.81014743739923</v>
      </c>
    </row>
  </sheetData>
  <mergeCells count="7">
    <mergeCell ref="A6:C8"/>
    <mergeCell ref="D6:I6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" workbookViewId="0">
      <selection activeCell="N20" sqref="N20"/>
    </sheetView>
  </sheetViews>
  <sheetFormatPr baseColWidth="10" defaultColWidth="11.42578125" defaultRowHeight="12.75" x14ac:dyDescent="0.2"/>
  <cols>
    <col min="1" max="1" width="3.42578125" style="60" customWidth="1"/>
    <col min="2" max="2" width="40.140625" style="92" customWidth="1"/>
    <col min="3" max="3" width="0.42578125" style="60" customWidth="1"/>
    <col min="4" max="4" width="11.28515625" style="60" customWidth="1"/>
    <col min="5" max="5" width="12.28515625" style="60" customWidth="1"/>
    <col min="6" max="6" width="11.7109375" style="60" customWidth="1"/>
    <col min="7" max="7" width="10.7109375" style="60" customWidth="1"/>
    <col min="8" max="8" width="11.7109375" style="60" bestFit="1" customWidth="1"/>
    <col min="9" max="9" width="7.140625" style="60" customWidth="1"/>
    <col min="10" max="16384" width="11.42578125" style="60"/>
  </cols>
  <sheetData>
    <row r="1" spans="1:10" s="59" customFormat="1" hidden="1" x14ac:dyDescent="0.2">
      <c r="A1" s="57" t="s">
        <v>68</v>
      </c>
      <c r="B1" s="58"/>
      <c r="C1" s="57" t="s">
        <v>106</v>
      </c>
      <c r="E1" s="57" t="s">
        <v>69</v>
      </c>
      <c r="F1" s="59" t="str">
        <f>IF(AND(LEN(E1)&gt;0,LEN(E1)&lt;=2),MID(E1,1,2),MID(E1,1,FIND(".",E1)-1))</f>
        <v>1</v>
      </c>
      <c r="G1" s="59" t="str">
        <f>IF(LEN(E1)&gt;2,MID(E1,FIND(".",E1)+2,2),0)</f>
        <v>6</v>
      </c>
      <c r="H1" s="59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59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s="59" t="str">
        <f>IF(OR(G1="13",G1="14",G1="15",G1="16"),12,G1)</f>
        <v>6</v>
      </c>
    </row>
    <row r="3" spans="1:10" x14ac:dyDescent="0.2">
      <c r="A3" s="278" t="s">
        <v>0</v>
      </c>
      <c r="B3" s="279"/>
      <c r="C3" s="279"/>
      <c r="D3" s="279"/>
      <c r="E3" s="279"/>
      <c r="F3" s="279"/>
      <c r="G3" s="279"/>
      <c r="H3" s="279"/>
      <c r="I3" s="280"/>
    </row>
    <row r="4" spans="1:10" x14ac:dyDescent="0.2">
      <c r="A4" s="281" t="s">
        <v>1</v>
      </c>
      <c r="B4" s="282"/>
      <c r="C4" s="282"/>
      <c r="D4" s="282"/>
      <c r="E4" s="282"/>
      <c r="F4" s="282"/>
      <c r="G4" s="282"/>
      <c r="H4" s="282"/>
      <c r="I4" s="283"/>
    </row>
    <row r="5" spans="1:10" x14ac:dyDescent="0.2">
      <c r="A5" s="281" t="s">
        <v>107</v>
      </c>
      <c r="B5" s="282"/>
      <c r="C5" s="282"/>
      <c r="D5" s="282"/>
      <c r="E5" s="282"/>
      <c r="F5" s="282"/>
      <c r="G5" s="282"/>
      <c r="H5" s="282"/>
      <c r="I5" s="283"/>
    </row>
    <row r="6" spans="1:10" ht="17.25" thickBot="1" x14ac:dyDescent="0.25">
      <c r="A6" s="284" t="s">
        <v>71</v>
      </c>
      <c r="B6" s="285"/>
      <c r="C6" s="285"/>
      <c r="D6" s="285"/>
      <c r="E6" s="285"/>
      <c r="F6" s="285"/>
      <c r="G6" s="285"/>
      <c r="H6" s="285"/>
      <c r="I6" s="286"/>
    </row>
    <row r="7" spans="1:10" ht="17.25" hidden="1" thickBot="1" x14ac:dyDescent="0.35">
      <c r="A7" s="287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28 de Julio del 2017</v>
      </c>
      <c r="B7" s="288"/>
      <c r="C7" s="288"/>
      <c r="D7" s="288"/>
      <c r="E7" s="288"/>
      <c r="F7" s="288"/>
      <c r="G7" s="288"/>
      <c r="H7" s="288"/>
      <c r="I7" s="289"/>
    </row>
    <row r="8" spans="1:10" ht="13.5" thickBot="1" x14ac:dyDescent="0.25">
      <c r="A8" s="290" t="s">
        <v>108</v>
      </c>
      <c r="B8" s="291"/>
      <c r="C8" s="296" t="s">
        <v>2</v>
      </c>
      <c r="D8" s="299" t="s">
        <v>3</v>
      </c>
      <c r="E8" s="300"/>
      <c r="F8" s="300"/>
      <c r="G8" s="300"/>
      <c r="H8" s="301"/>
      <c r="I8" s="302" t="s">
        <v>72</v>
      </c>
    </row>
    <row r="9" spans="1:10" ht="18.75" thickBot="1" x14ac:dyDescent="0.25">
      <c r="A9" s="292"/>
      <c r="B9" s="293"/>
      <c r="C9" s="297"/>
      <c r="D9" s="61" t="s">
        <v>4</v>
      </c>
      <c r="E9" s="62" t="s">
        <v>5</v>
      </c>
      <c r="F9" s="61" t="s">
        <v>6</v>
      </c>
      <c r="G9" s="61" t="s">
        <v>7</v>
      </c>
      <c r="H9" s="61" t="s">
        <v>8</v>
      </c>
      <c r="I9" s="303"/>
    </row>
    <row r="10" spans="1:10" ht="13.5" thickBot="1" x14ac:dyDescent="0.25">
      <c r="A10" s="294"/>
      <c r="B10" s="295"/>
      <c r="C10" s="298"/>
      <c r="D10" s="63">
        <v>1</v>
      </c>
      <c r="E10" s="64">
        <v>2</v>
      </c>
      <c r="F10" s="63" t="s">
        <v>9</v>
      </c>
      <c r="G10" s="63">
        <v>4</v>
      </c>
      <c r="H10" s="63">
        <v>5</v>
      </c>
      <c r="I10" s="65"/>
    </row>
    <row r="11" spans="1:10" x14ac:dyDescent="0.2">
      <c r="A11" s="66"/>
      <c r="B11" s="67"/>
      <c r="C11" s="68"/>
      <c r="D11" s="69"/>
      <c r="E11" s="70"/>
      <c r="F11" s="71"/>
      <c r="G11" s="71"/>
      <c r="H11" s="71"/>
      <c r="I11" s="72"/>
    </row>
    <row r="12" spans="1:10" x14ac:dyDescent="0.2">
      <c r="A12" s="73" t="s">
        <v>109</v>
      </c>
      <c r="B12" s="74"/>
      <c r="C12" s="75"/>
      <c r="D12" s="76">
        <v>8842964086.4699993</v>
      </c>
      <c r="E12" s="76">
        <v>81007987.519999996</v>
      </c>
      <c r="F12" s="76">
        <v>8923972073.9899998</v>
      </c>
      <c r="G12" s="76">
        <v>3808683188.6499996</v>
      </c>
      <c r="H12" s="76">
        <v>3400606763.4700003</v>
      </c>
      <c r="I12" s="77">
        <v>43.07020984601079</v>
      </c>
    </row>
    <row r="13" spans="1:10" x14ac:dyDescent="0.2">
      <c r="A13" s="73"/>
      <c r="B13" s="78" t="s">
        <v>110</v>
      </c>
      <c r="C13" s="79">
        <v>11</v>
      </c>
      <c r="D13" s="80">
        <v>1063281502.52</v>
      </c>
      <c r="E13" s="80">
        <v>4474382.33</v>
      </c>
      <c r="F13" s="80">
        <v>1067755884.85</v>
      </c>
      <c r="G13" s="80">
        <v>521051959.81999999</v>
      </c>
      <c r="H13" s="80">
        <v>513161509.98000002</v>
      </c>
      <c r="I13" s="77">
        <v>49.004140350894438</v>
      </c>
    </row>
    <row r="14" spans="1:10" x14ac:dyDescent="0.2">
      <c r="A14" s="73"/>
      <c r="B14" s="78" t="s">
        <v>111</v>
      </c>
      <c r="C14" s="79">
        <v>12</v>
      </c>
      <c r="D14" s="80">
        <v>3413097440.71</v>
      </c>
      <c r="E14" s="80">
        <v>42360351.770000003</v>
      </c>
      <c r="F14" s="80">
        <v>3455457792.48</v>
      </c>
      <c r="G14" s="80">
        <v>1440172997.6199999</v>
      </c>
      <c r="H14" s="80">
        <v>1297727038.5899999</v>
      </c>
      <c r="I14" s="77">
        <v>42.195484384425072</v>
      </c>
    </row>
    <row r="15" spans="1:10" x14ac:dyDescent="0.2">
      <c r="A15" s="73"/>
      <c r="B15" s="78" t="s">
        <v>112</v>
      </c>
      <c r="C15" s="79">
        <v>13</v>
      </c>
      <c r="D15" s="80">
        <v>1051730815.6799999</v>
      </c>
      <c r="E15" s="80">
        <v>39430353.810000002</v>
      </c>
      <c r="F15" s="80">
        <v>1091161169.49</v>
      </c>
      <c r="G15" s="80">
        <v>528036464.99000001</v>
      </c>
      <c r="H15" s="80">
        <v>460161573.04000002</v>
      </c>
      <c r="I15" s="77">
        <v>50.206427074079443</v>
      </c>
    </row>
    <row r="16" spans="1:10" x14ac:dyDescent="0.2">
      <c r="A16" s="73"/>
      <c r="B16" s="78" t="s">
        <v>113</v>
      </c>
      <c r="C16" s="79">
        <v>15</v>
      </c>
      <c r="D16" s="80">
        <v>1259859362.1300001</v>
      </c>
      <c r="E16" s="80">
        <v>8540684.3100000005</v>
      </c>
      <c r="F16" s="80">
        <v>1268400046.4400001</v>
      </c>
      <c r="G16" s="80">
        <v>549027774.67999995</v>
      </c>
      <c r="H16" s="80">
        <v>409649139.41000003</v>
      </c>
      <c r="I16" s="77">
        <v>43.578497027777601</v>
      </c>
    </row>
    <row r="17" spans="1:9" x14ac:dyDescent="0.2">
      <c r="A17" s="73"/>
      <c r="B17" s="78" t="s">
        <v>114</v>
      </c>
      <c r="C17" s="79">
        <v>17</v>
      </c>
      <c r="D17" s="80">
        <v>1649361860.9400001</v>
      </c>
      <c r="E17" s="80">
        <v>-15321649.66</v>
      </c>
      <c r="F17" s="80">
        <v>1634040211.28</v>
      </c>
      <c r="G17" s="80">
        <v>574858854.94000006</v>
      </c>
      <c r="H17" s="80">
        <v>542568159.16999996</v>
      </c>
      <c r="I17" s="77">
        <v>34.853410191768226</v>
      </c>
    </row>
    <row r="18" spans="1:9" x14ac:dyDescent="0.2">
      <c r="A18" s="73"/>
      <c r="B18" s="78" t="s">
        <v>115</v>
      </c>
      <c r="C18" s="79">
        <v>18</v>
      </c>
      <c r="D18" s="80">
        <v>405633104.49000001</v>
      </c>
      <c r="E18" s="80">
        <v>1523864.96</v>
      </c>
      <c r="F18" s="80">
        <v>407156969.44999999</v>
      </c>
      <c r="G18" s="80">
        <v>195535136.59999999</v>
      </c>
      <c r="H18" s="80">
        <v>177339343.28</v>
      </c>
      <c r="I18" s="77">
        <v>48.204925691616104</v>
      </c>
    </row>
    <row r="19" spans="1:9" x14ac:dyDescent="0.2">
      <c r="A19" s="75" t="s">
        <v>116</v>
      </c>
      <c r="B19" s="81"/>
      <c r="C19" s="79"/>
      <c r="D19" s="76">
        <v>35467612586.379997</v>
      </c>
      <c r="E19" s="76">
        <v>2507134077.1799998</v>
      </c>
      <c r="F19" s="76">
        <v>37974746663.559998</v>
      </c>
      <c r="G19" s="76">
        <v>17551357179.279999</v>
      </c>
      <c r="H19" s="76">
        <v>16879855622.239998</v>
      </c>
      <c r="I19" s="82">
        <v>49.485589526316012</v>
      </c>
    </row>
    <row r="20" spans="1:9" x14ac:dyDescent="0.2">
      <c r="A20" s="75"/>
      <c r="B20" s="81" t="s">
        <v>117</v>
      </c>
      <c r="C20" s="79">
        <v>21</v>
      </c>
      <c r="D20" s="80">
        <v>137616786</v>
      </c>
      <c r="E20" s="80">
        <v>101002698.34999999</v>
      </c>
      <c r="F20" s="80">
        <v>238619484.34999999</v>
      </c>
      <c r="G20" s="80">
        <v>80019623.950000003</v>
      </c>
      <c r="H20" s="80">
        <v>66933040.280000001</v>
      </c>
      <c r="I20" s="82">
        <v>58.146703084607722</v>
      </c>
    </row>
    <row r="21" spans="1:9" x14ac:dyDescent="0.2">
      <c r="A21" s="75"/>
      <c r="B21" s="81" t="s">
        <v>118</v>
      </c>
      <c r="C21" s="79">
        <v>22</v>
      </c>
      <c r="D21" s="80">
        <v>5575354962.6400003</v>
      </c>
      <c r="E21" s="80">
        <v>87923568.650000006</v>
      </c>
      <c r="F21" s="80">
        <v>5663278531.29</v>
      </c>
      <c r="G21" s="80">
        <v>1374384320.24</v>
      </c>
      <c r="H21" s="80">
        <v>1203444657.29</v>
      </c>
      <c r="I21" s="82">
        <v>24.651064003092852</v>
      </c>
    </row>
    <row r="22" spans="1:9" x14ac:dyDescent="0.2">
      <c r="A22" s="75"/>
      <c r="B22" s="81" t="s">
        <v>119</v>
      </c>
      <c r="C22" s="79">
        <v>23</v>
      </c>
      <c r="D22" s="80">
        <v>4802094925.3900003</v>
      </c>
      <c r="E22" s="80">
        <v>371668762.10000002</v>
      </c>
      <c r="F22" s="80">
        <v>5173763687.4900007</v>
      </c>
      <c r="G22" s="80">
        <v>2513811842.4499998</v>
      </c>
      <c r="H22" s="80">
        <v>2342480556.0799999</v>
      </c>
      <c r="I22" s="82">
        <v>52.348233042182969</v>
      </c>
    </row>
    <row r="23" spans="1:9" ht="18.75" x14ac:dyDescent="0.2">
      <c r="A23" s="75"/>
      <c r="B23" s="81" t="s">
        <v>120</v>
      </c>
      <c r="C23" s="79">
        <v>24</v>
      </c>
      <c r="D23" s="80">
        <v>487743667</v>
      </c>
      <c r="E23" s="80">
        <v>106694343.31</v>
      </c>
      <c r="F23" s="80">
        <v>594438010.30999994</v>
      </c>
      <c r="G23" s="80">
        <v>348097705.38999999</v>
      </c>
      <c r="H23" s="80">
        <v>321333781.56999999</v>
      </c>
      <c r="I23" s="82">
        <v>71.368985174337482</v>
      </c>
    </row>
    <row r="24" spans="1:9" x14ac:dyDescent="0.2">
      <c r="A24" s="75"/>
      <c r="B24" s="81" t="s">
        <v>121</v>
      </c>
      <c r="C24" s="79">
        <v>25</v>
      </c>
      <c r="D24" s="80">
        <v>18259679030</v>
      </c>
      <c r="E24" s="80">
        <v>1841764504.29</v>
      </c>
      <c r="F24" s="80">
        <v>20101443534.290001</v>
      </c>
      <c r="G24" s="80">
        <v>10422068937.33</v>
      </c>
      <c r="H24" s="80">
        <v>10156050897.209999</v>
      </c>
      <c r="I24" s="82">
        <v>57.076955844661413</v>
      </c>
    </row>
    <row r="25" spans="1:9" x14ac:dyDescent="0.2">
      <c r="A25" s="75"/>
      <c r="B25" s="81" t="s">
        <v>122</v>
      </c>
      <c r="C25" s="79">
        <v>26</v>
      </c>
      <c r="D25" s="80">
        <v>5964139178.6800003</v>
      </c>
      <c r="E25" s="80">
        <v>56546529.600000001</v>
      </c>
      <c r="F25" s="80">
        <v>6020685708.2800007</v>
      </c>
      <c r="G25" s="80">
        <v>2769810193.6199999</v>
      </c>
      <c r="H25" s="80">
        <v>2750714151.5799999</v>
      </c>
      <c r="I25" s="82">
        <v>46.44107239350209</v>
      </c>
    </row>
    <row r="26" spans="1:9" x14ac:dyDescent="0.2">
      <c r="A26" s="75"/>
      <c r="B26" s="81" t="s">
        <v>123</v>
      </c>
      <c r="C26" s="79">
        <v>27</v>
      </c>
      <c r="D26" s="80">
        <v>240984036.66999999</v>
      </c>
      <c r="E26" s="80">
        <v>-58466329.119999997</v>
      </c>
      <c r="F26" s="80">
        <v>182517707.54999998</v>
      </c>
      <c r="G26" s="80">
        <v>43164556.299999997</v>
      </c>
      <c r="H26" s="80">
        <v>38898538.229999997</v>
      </c>
      <c r="I26" s="82">
        <v>17.911790712971129</v>
      </c>
    </row>
    <row r="27" spans="1:9" x14ac:dyDescent="0.2">
      <c r="A27" s="75" t="s">
        <v>124</v>
      </c>
      <c r="B27" s="81"/>
      <c r="C27" s="79"/>
      <c r="D27" s="76">
        <v>1820961585.6800001</v>
      </c>
      <c r="E27" s="76">
        <v>986864294.92000008</v>
      </c>
      <c r="F27" s="76">
        <v>2807825880.6000004</v>
      </c>
      <c r="G27" s="76">
        <v>1753804150.26</v>
      </c>
      <c r="H27" s="76">
        <v>1642676371.0500002</v>
      </c>
      <c r="I27" s="82">
        <v>96.311979563538046</v>
      </c>
    </row>
    <row r="28" spans="1:9" ht="18.75" x14ac:dyDescent="0.2">
      <c r="A28" s="75"/>
      <c r="B28" s="81" t="s">
        <v>125</v>
      </c>
      <c r="C28" s="79">
        <v>31</v>
      </c>
      <c r="D28" s="80">
        <v>359022921.51999998</v>
      </c>
      <c r="E28" s="80">
        <v>-5419854.1100000003</v>
      </c>
      <c r="F28" s="80">
        <v>353603067.40999997</v>
      </c>
      <c r="G28" s="80">
        <v>174172716.97</v>
      </c>
      <c r="H28" s="80">
        <v>158980321.09</v>
      </c>
      <c r="I28" s="82">
        <v>48.512979681799344</v>
      </c>
    </row>
    <row r="29" spans="1:9" x14ac:dyDescent="0.2">
      <c r="A29" s="75"/>
      <c r="B29" s="81" t="s">
        <v>126</v>
      </c>
      <c r="C29" s="79">
        <v>32</v>
      </c>
      <c r="D29" s="80">
        <v>460572591</v>
      </c>
      <c r="E29" s="80">
        <v>199456035.43000001</v>
      </c>
      <c r="F29" s="80">
        <v>660028626.43000007</v>
      </c>
      <c r="G29" s="80">
        <v>412957858.57999998</v>
      </c>
      <c r="H29" s="80">
        <v>409893133.88999999</v>
      </c>
      <c r="I29" s="82">
        <v>89.661839772831812</v>
      </c>
    </row>
    <row r="30" spans="1:9" x14ac:dyDescent="0.2">
      <c r="A30" s="75"/>
      <c r="B30" s="81" t="s">
        <v>127</v>
      </c>
      <c r="C30" s="79">
        <v>33</v>
      </c>
      <c r="D30" s="80">
        <v>0</v>
      </c>
      <c r="E30" s="80">
        <v>1095140.07</v>
      </c>
      <c r="F30" s="80">
        <v>1095140.07</v>
      </c>
      <c r="G30" s="80">
        <v>1093270.46</v>
      </c>
      <c r="H30" s="80">
        <v>290070.03999999998</v>
      </c>
      <c r="I30" s="82">
        <v>0</v>
      </c>
    </row>
    <row r="31" spans="1:9" x14ac:dyDescent="0.2">
      <c r="A31" s="75"/>
      <c r="B31" s="81" t="s">
        <v>128</v>
      </c>
      <c r="C31" s="79">
        <v>34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2">
        <v>0</v>
      </c>
    </row>
    <row r="32" spans="1:9" x14ac:dyDescent="0.2">
      <c r="A32" s="75"/>
      <c r="B32" s="81" t="s">
        <v>129</v>
      </c>
      <c r="C32" s="79">
        <v>35</v>
      </c>
      <c r="D32" s="80">
        <v>624473993.53999996</v>
      </c>
      <c r="E32" s="80">
        <v>733852626.77999997</v>
      </c>
      <c r="F32" s="80">
        <v>1358326620.3199999</v>
      </c>
      <c r="G32" s="80">
        <v>952827103.45000005</v>
      </c>
      <c r="H32" s="80">
        <v>884281958.79999995</v>
      </c>
      <c r="I32" s="82">
        <v>152.58075008834902</v>
      </c>
    </row>
    <row r="33" spans="1:9" x14ac:dyDescent="0.2">
      <c r="A33" s="75"/>
      <c r="B33" s="81" t="s">
        <v>130</v>
      </c>
      <c r="C33" s="79">
        <v>36</v>
      </c>
      <c r="D33" s="80">
        <v>6327200</v>
      </c>
      <c r="E33" s="80">
        <v>3567233.44</v>
      </c>
      <c r="F33" s="80">
        <v>9894433.4399999995</v>
      </c>
      <c r="G33" s="80">
        <v>8820552.2300000004</v>
      </c>
      <c r="H33" s="80">
        <v>8820552.2300000004</v>
      </c>
      <c r="I33" s="82">
        <v>139.40688187507902</v>
      </c>
    </row>
    <row r="34" spans="1:9" x14ac:dyDescent="0.2">
      <c r="A34" s="75"/>
      <c r="B34" s="81" t="s">
        <v>131</v>
      </c>
      <c r="C34" s="79">
        <v>37</v>
      </c>
      <c r="D34" s="80">
        <v>179816125</v>
      </c>
      <c r="E34" s="80">
        <v>80093527.019999996</v>
      </c>
      <c r="F34" s="80">
        <v>259909652.01999998</v>
      </c>
      <c r="G34" s="80">
        <v>107762754.23</v>
      </c>
      <c r="H34" s="80">
        <v>88536068.959999993</v>
      </c>
      <c r="I34" s="82">
        <v>59.929416357960108</v>
      </c>
    </row>
    <row r="35" spans="1:9" x14ac:dyDescent="0.2">
      <c r="A35" s="75"/>
      <c r="B35" s="81" t="s">
        <v>132</v>
      </c>
      <c r="C35" s="79">
        <v>38</v>
      </c>
      <c r="D35" s="80">
        <v>38717516.149999999</v>
      </c>
      <c r="E35" s="80">
        <v>73283.850000000006</v>
      </c>
      <c r="F35" s="80">
        <v>38790800</v>
      </c>
      <c r="G35" s="80">
        <v>15251398.5</v>
      </c>
      <c r="H35" s="80">
        <v>11532039.890000001</v>
      </c>
      <c r="I35" s="82">
        <v>39.391469331123403</v>
      </c>
    </row>
    <row r="36" spans="1:9" x14ac:dyDescent="0.2">
      <c r="A36" s="75"/>
      <c r="B36" s="81" t="s">
        <v>133</v>
      </c>
      <c r="C36" s="79">
        <v>39</v>
      </c>
      <c r="D36" s="80">
        <v>152031238.47</v>
      </c>
      <c r="E36" s="80">
        <v>-25853697.559999999</v>
      </c>
      <c r="F36" s="80">
        <v>126177540.91</v>
      </c>
      <c r="G36" s="80">
        <v>80918495.840000004</v>
      </c>
      <c r="H36" s="80">
        <v>80342226.150000006</v>
      </c>
      <c r="I36" s="82">
        <v>53.224913941595943</v>
      </c>
    </row>
    <row r="37" spans="1:9" x14ac:dyDescent="0.2">
      <c r="A37" s="75" t="s">
        <v>134</v>
      </c>
      <c r="B37" s="81"/>
      <c r="C37" s="79"/>
      <c r="D37" s="76">
        <v>10320341685.469999</v>
      </c>
      <c r="E37" s="76">
        <v>2428554892.0699997</v>
      </c>
      <c r="F37" s="76">
        <v>12748896577.539999</v>
      </c>
      <c r="G37" s="76">
        <v>9521070508.6200008</v>
      </c>
      <c r="H37" s="76">
        <v>9361090614.4399986</v>
      </c>
      <c r="I37" s="82">
        <v>92.255380672373548</v>
      </c>
    </row>
    <row r="38" spans="1:9" ht="18.75" x14ac:dyDescent="0.2">
      <c r="A38" s="75"/>
      <c r="B38" s="81" t="s">
        <v>135</v>
      </c>
      <c r="C38" s="79"/>
      <c r="D38" s="80">
        <v>3003894765.4699998</v>
      </c>
      <c r="E38" s="80">
        <v>1511460531.05</v>
      </c>
      <c r="F38" s="80">
        <v>4515355296.5199995</v>
      </c>
      <c r="G38" s="80">
        <v>4145379504.1100001</v>
      </c>
      <c r="H38" s="80">
        <v>4144703596.71</v>
      </c>
      <c r="I38" s="82">
        <v>138.00015738771728</v>
      </c>
    </row>
    <row r="39" spans="1:9" ht="18.75" x14ac:dyDescent="0.2">
      <c r="A39" s="75"/>
      <c r="B39" s="81" t="s">
        <v>136</v>
      </c>
      <c r="C39" s="79"/>
      <c r="D39" s="80">
        <v>6316446920</v>
      </c>
      <c r="E39" s="80">
        <v>-4534500.7</v>
      </c>
      <c r="F39" s="80">
        <v>6311912419.3000002</v>
      </c>
      <c r="G39" s="80">
        <v>3534943645.6700001</v>
      </c>
      <c r="H39" s="80">
        <v>3533445144.77</v>
      </c>
      <c r="I39" s="82">
        <v>55.964115434536097</v>
      </c>
    </row>
    <row r="40" spans="1:9" x14ac:dyDescent="0.2">
      <c r="A40" s="75"/>
      <c r="B40" s="81" t="s">
        <v>137</v>
      </c>
      <c r="C40" s="75"/>
      <c r="D40" s="80">
        <v>1000000000</v>
      </c>
      <c r="E40" s="80">
        <v>921628861.72000003</v>
      </c>
      <c r="F40" s="80">
        <v>1921628861.72</v>
      </c>
      <c r="G40" s="80">
        <v>1840747358.8399999</v>
      </c>
      <c r="H40" s="80">
        <v>1682941872.96</v>
      </c>
      <c r="I40" s="82">
        <v>184.07473588399998</v>
      </c>
    </row>
    <row r="41" spans="1:9" ht="13.5" thickBot="1" x14ac:dyDescent="0.25">
      <c r="A41" s="83"/>
      <c r="B41" s="84"/>
      <c r="C41" s="79"/>
      <c r="D41" s="85"/>
      <c r="E41" s="86"/>
      <c r="F41" s="80"/>
      <c r="G41" s="80"/>
      <c r="H41" s="80"/>
      <c r="I41" s="86"/>
    </row>
    <row r="42" spans="1:9" ht="13.5" thickBot="1" x14ac:dyDescent="0.25">
      <c r="A42" s="87"/>
      <c r="B42" s="88" t="s">
        <v>11</v>
      </c>
      <c r="C42" s="89"/>
      <c r="D42" s="90">
        <v>56451879944</v>
      </c>
      <c r="E42" s="90">
        <v>6003561251.6899996</v>
      </c>
      <c r="F42" s="90">
        <v>62455441195.689995</v>
      </c>
      <c r="G42" s="90">
        <v>32634915026.809998</v>
      </c>
      <c r="H42" s="90">
        <v>31284229371.199997</v>
      </c>
      <c r="I42" s="91">
        <v>57.810147437399216</v>
      </c>
    </row>
  </sheetData>
  <mergeCells count="9">
    <mergeCell ref="A8:B10"/>
    <mergeCell ref="C8:C10"/>
    <mergeCell ref="D8:H8"/>
    <mergeCell ref="I8:I9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2" workbookViewId="0">
      <selection activeCell="P8" sqref="P8"/>
    </sheetView>
  </sheetViews>
  <sheetFormatPr baseColWidth="10" defaultRowHeight="12.75" x14ac:dyDescent="0.2"/>
  <cols>
    <col min="1" max="1" width="4.42578125" customWidth="1"/>
    <col min="2" max="2" width="36.7109375" style="94" customWidth="1"/>
    <col min="3" max="3" width="2.28515625" hidden="1" customWidth="1"/>
    <col min="4" max="4" width="11.7109375" bestFit="1" customWidth="1"/>
    <col min="5" max="6" width="12.140625" customWidth="1"/>
    <col min="7" max="7" width="11.7109375" customWidth="1"/>
    <col min="8" max="8" width="11.42578125" customWidth="1"/>
    <col min="9" max="9" width="7.7109375" customWidth="1"/>
  </cols>
  <sheetData>
    <row r="1" spans="1:11" ht="13.5" hidden="1" thickBot="1" x14ac:dyDescent="0.25">
      <c r="A1" s="93" t="s">
        <v>68</v>
      </c>
      <c r="E1" s="93" t="s">
        <v>69</v>
      </c>
      <c r="F1" t="str">
        <f>IF(AND(LEN(E1)&gt;0,LEN(E1)&lt;=2),MID(E1,1,2),MID(E1,1,FIND(".",E1)-1))</f>
        <v>1</v>
      </c>
      <c r="G1" t="str">
        <f>IF(LEN(E1)&gt;2,MID(E1,FIND(".",E1)+2,2),0)</f>
        <v>6</v>
      </c>
      <c r="H1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t="str">
        <f>IF(OR(G1="13",G1="14",G1="15",G1="16"),12,G1)</f>
        <v>6</v>
      </c>
    </row>
    <row r="2" spans="1:11" ht="15.75" x14ac:dyDescent="0.2">
      <c r="A2" s="312" t="s">
        <v>0</v>
      </c>
      <c r="B2" s="313"/>
      <c r="C2" s="313"/>
      <c r="D2" s="313"/>
      <c r="E2" s="313"/>
      <c r="F2" s="313"/>
      <c r="G2" s="313"/>
      <c r="H2" s="313"/>
      <c r="I2" s="314"/>
    </row>
    <row r="3" spans="1:11" ht="15" x14ac:dyDescent="0.2">
      <c r="A3" s="315" t="s">
        <v>138</v>
      </c>
      <c r="B3" s="316"/>
      <c r="C3" s="316"/>
      <c r="D3" s="316"/>
      <c r="E3" s="316"/>
      <c r="F3" s="316"/>
      <c r="G3" s="316"/>
      <c r="H3" s="316"/>
      <c r="I3" s="317"/>
    </row>
    <row r="4" spans="1:11" ht="15" x14ac:dyDescent="0.2">
      <c r="A4" s="315" t="s">
        <v>139</v>
      </c>
      <c r="B4" s="316"/>
      <c r="C4" s="316"/>
      <c r="D4" s="316"/>
      <c r="E4" s="316"/>
      <c r="F4" s="316"/>
      <c r="G4" s="316"/>
      <c r="H4" s="316"/>
      <c r="I4" s="317"/>
    </row>
    <row r="5" spans="1:11" x14ac:dyDescent="0.2">
      <c r="A5" s="318" t="s">
        <v>71</v>
      </c>
      <c r="B5" s="319"/>
      <c r="C5" s="319"/>
      <c r="D5" s="319"/>
      <c r="E5" s="319"/>
      <c r="F5" s="319"/>
      <c r="G5" s="319"/>
      <c r="H5" s="319"/>
      <c r="I5" s="320"/>
    </row>
    <row r="6" spans="1:11" ht="13.5" thickBot="1" x14ac:dyDescent="0.25">
      <c r="A6" s="321" t="s">
        <v>140</v>
      </c>
      <c r="B6" s="322"/>
      <c r="C6" s="322"/>
      <c r="D6" s="322"/>
      <c r="E6" s="322"/>
      <c r="F6" s="322"/>
      <c r="G6" s="322"/>
      <c r="H6" s="322"/>
      <c r="I6" s="323"/>
    </row>
    <row r="7" spans="1:11" s="103" customFormat="1" ht="12" thickBot="1" x14ac:dyDescent="0.25">
      <c r="A7" s="324" t="s">
        <v>141</v>
      </c>
      <c r="B7" s="325"/>
      <c r="C7" s="102"/>
      <c r="D7" s="328" t="s">
        <v>3</v>
      </c>
      <c r="E7" s="329"/>
      <c r="F7" s="329"/>
      <c r="G7" s="329"/>
      <c r="H7" s="330"/>
      <c r="I7" s="331" t="s">
        <v>72</v>
      </c>
    </row>
    <row r="8" spans="1:11" s="103" customFormat="1" ht="34.5" thickBot="1" x14ac:dyDescent="0.25">
      <c r="A8" s="326"/>
      <c r="B8" s="327"/>
      <c r="C8" s="104" t="s">
        <v>142</v>
      </c>
      <c r="D8" s="105" t="s">
        <v>143</v>
      </c>
      <c r="E8" s="106" t="s">
        <v>144</v>
      </c>
      <c r="F8" s="106" t="s">
        <v>145</v>
      </c>
      <c r="G8" s="106" t="s">
        <v>7</v>
      </c>
      <c r="H8" s="106" t="s">
        <v>8</v>
      </c>
      <c r="I8" s="332"/>
      <c r="J8" s="308"/>
      <c r="K8" s="308"/>
    </row>
    <row r="9" spans="1:11" s="103" customFormat="1" ht="11.25" x14ac:dyDescent="0.2">
      <c r="A9" s="309"/>
      <c r="B9" s="310"/>
      <c r="C9" s="107"/>
      <c r="D9" s="107"/>
      <c r="E9" s="107"/>
      <c r="F9" s="107"/>
      <c r="G9" s="107"/>
      <c r="H9" s="107"/>
      <c r="I9" s="107"/>
      <c r="J9" s="308"/>
      <c r="K9" s="308"/>
    </row>
    <row r="10" spans="1:11" s="103" customFormat="1" ht="12" thickBot="1" x14ac:dyDescent="0.25">
      <c r="A10" s="306" t="s">
        <v>146</v>
      </c>
      <c r="B10" s="311"/>
      <c r="C10" s="107"/>
      <c r="D10" s="108">
        <v>36365414869</v>
      </c>
      <c r="E10" s="108">
        <v>2933218324.6000004</v>
      </c>
      <c r="F10" s="108">
        <v>39298633193.599998</v>
      </c>
      <c r="G10" s="108">
        <v>20782178854.93</v>
      </c>
      <c r="H10" s="108">
        <v>19719354645.360001</v>
      </c>
      <c r="I10" s="109">
        <v>57.148196795758111</v>
      </c>
      <c r="J10" s="308"/>
      <c r="K10" s="308"/>
    </row>
    <row r="11" spans="1:11" s="103" customFormat="1" ht="11.25" x14ac:dyDescent="0.2">
      <c r="A11" s="304" t="s">
        <v>147</v>
      </c>
      <c r="B11" s="305"/>
      <c r="C11" s="110"/>
      <c r="D11" s="108">
        <v>7212990668.2299995</v>
      </c>
      <c r="E11" s="108">
        <v>226205845.93000001</v>
      </c>
      <c r="F11" s="108">
        <v>7439196514.1599998</v>
      </c>
      <c r="G11" s="108">
        <v>3305329263.8499999</v>
      </c>
      <c r="H11" s="108">
        <v>2925710944.8299999</v>
      </c>
      <c r="I11" s="109">
        <v>45.824671289379289</v>
      </c>
      <c r="J11" s="308"/>
      <c r="K11" s="308"/>
    </row>
    <row r="12" spans="1:11" s="103" customFormat="1" ht="11.25" x14ac:dyDescent="0.2">
      <c r="A12" s="111"/>
      <c r="B12" s="112" t="s">
        <v>148</v>
      </c>
      <c r="C12" s="107">
        <v>11</v>
      </c>
      <c r="D12" s="113">
        <v>1031285938.64</v>
      </c>
      <c r="E12" s="113">
        <v>-8104019.8600000003</v>
      </c>
      <c r="F12" s="113">
        <v>1023181918.78</v>
      </c>
      <c r="G12" s="113">
        <v>496055816.37</v>
      </c>
      <c r="H12" s="113">
        <v>489314751.94</v>
      </c>
      <c r="I12" s="109">
        <v>48.100705903560517</v>
      </c>
      <c r="J12" s="308"/>
      <c r="K12" s="308"/>
    </row>
    <row r="13" spans="1:11" s="103" customFormat="1" ht="11.25" x14ac:dyDescent="0.2">
      <c r="A13" s="111"/>
      <c r="B13" s="112" t="s">
        <v>149</v>
      </c>
      <c r="C13" s="107">
        <v>12</v>
      </c>
      <c r="D13" s="113">
        <v>2942629283.8299999</v>
      </c>
      <c r="E13" s="113">
        <v>19926951.420000002</v>
      </c>
      <c r="F13" s="113">
        <v>2962556235.25</v>
      </c>
      <c r="G13" s="113">
        <v>1253266924</v>
      </c>
      <c r="H13" s="113">
        <v>1122804216.5699999</v>
      </c>
      <c r="I13" s="109">
        <v>42.590037789904734</v>
      </c>
    </row>
    <row r="14" spans="1:11" s="103" customFormat="1" ht="11.25" x14ac:dyDescent="0.2">
      <c r="A14" s="111"/>
      <c r="B14" s="112" t="s">
        <v>150</v>
      </c>
      <c r="C14" s="107">
        <v>13</v>
      </c>
      <c r="D14" s="113">
        <v>1002207132.36</v>
      </c>
      <c r="E14" s="113">
        <v>32846435.719999999</v>
      </c>
      <c r="F14" s="113">
        <v>1035053568.08</v>
      </c>
      <c r="G14" s="113">
        <v>504178856.12</v>
      </c>
      <c r="H14" s="113">
        <v>439433379.56999999</v>
      </c>
      <c r="I14" s="109">
        <v>50.306851731613435</v>
      </c>
    </row>
    <row r="15" spans="1:11" s="103" customFormat="1" ht="11.25" x14ac:dyDescent="0.2">
      <c r="A15" s="111"/>
      <c r="B15" s="112" t="s">
        <v>151</v>
      </c>
      <c r="C15" s="107">
        <v>14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09">
        <v>0</v>
      </c>
    </row>
    <row r="16" spans="1:11" s="103" customFormat="1" ht="11.25" x14ac:dyDescent="0.2">
      <c r="A16" s="111"/>
      <c r="B16" s="112" t="s">
        <v>152</v>
      </c>
      <c r="C16" s="107">
        <v>15</v>
      </c>
      <c r="D16" s="113">
        <v>1004169403.09</v>
      </c>
      <c r="E16" s="113">
        <v>163324434.94</v>
      </c>
      <c r="F16" s="113">
        <v>1167493838.03</v>
      </c>
      <c r="G16" s="113">
        <v>516819642.37</v>
      </c>
      <c r="H16" s="113">
        <v>381654301.49000001</v>
      </c>
      <c r="I16" s="109">
        <v>51.467376000469443</v>
      </c>
    </row>
    <row r="17" spans="1:9" s="103" customFormat="1" ht="11.25" x14ac:dyDescent="0.2">
      <c r="A17" s="111"/>
      <c r="B17" s="112" t="s">
        <v>153</v>
      </c>
      <c r="C17" s="107">
        <v>16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09">
        <v>0</v>
      </c>
    </row>
    <row r="18" spans="1:9" s="103" customFormat="1" ht="22.5" x14ac:dyDescent="0.2">
      <c r="A18" s="111"/>
      <c r="B18" s="112" t="s">
        <v>154</v>
      </c>
      <c r="C18" s="107">
        <v>17</v>
      </c>
      <c r="D18" s="113">
        <v>854892715.62</v>
      </c>
      <c r="E18" s="113">
        <v>19858919.800000001</v>
      </c>
      <c r="F18" s="113">
        <v>874751635.41999996</v>
      </c>
      <c r="G18" s="113">
        <v>357493459.31999999</v>
      </c>
      <c r="H18" s="113">
        <v>330828349.22000003</v>
      </c>
      <c r="I18" s="109">
        <v>41.81734769616471</v>
      </c>
    </row>
    <row r="19" spans="1:9" s="103" customFormat="1" ht="11.25" x14ac:dyDescent="0.2">
      <c r="A19" s="111"/>
      <c r="B19" s="112" t="s">
        <v>155</v>
      </c>
      <c r="C19" s="107">
        <v>18</v>
      </c>
      <c r="D19" s="113">
        <v>377806194.69</v>
      </c>
      <c r="E19" s="113">
        <v>-1646876.09</v>
      </c>
      <c r="F19" s="113">
        <v>376159318.60000002</v>
      </c>
      <c r="G19" s="113">
        <v>177514565.66999999</v>
      </c>
      <c r="H19" s="113">
        <v>161675946.03999999</v>
      </c>
      <c r="I19" s="109">
        <v>46.985615420005331</v>
      </c>
    </row>
    <row r="20" spans="1:9" s="103" customFormat="1" ht="11.25" x14ac:dyDescent="0.2">
      <c r="A20" s="111"/>
      <c r="B20" s="112"/>
      <c r="C20" s="107"/>
      <c r="D20" s="113"/>
      <c r="E20" s="113"/>
      <c r="F20" s="113"/>
      <c r="G20" s="113"/>
      <c r="H20" s="113"/>
      <c r="I20" s="114"/>
    </row>
    <row r="21" spans="1:9" s="103" customFormat="1" ht="11.25" x14ac:dyDescent="0.2">
      <c r="A21" s="304" t="s">
        <v>156</v>
      </c>
      <c r="B21" s="305"/>
      <c r="C21" s="107"/>
      <c r="D21" s="108">
        <v>19729648178.66</v>
      </c>
      <c r="E21" s="108">
        <v>189962902.40000001</v>
      </c>
      <c r="F21" s="108">
        <v>19919611081.059998</v>
      </c>
      <c r="G21" s="108">
        <v>8578193322.4499998</v>
      </c>
      <c r="H21" s="108">
        <v>8160724248.3299999</v>
      </c>
      <c r="I21" s="109">
        <v>43.478693815373518</v>
      </c>
    </row>
    <row r="22" spans="1:9" s="103" customFormat="1" ht="11.25" x14ac:dyDescent="0.2">
      <c r="A22" s="111"/>
      <c r="B22" s="112" t="s">
        <v>157</v>
      </c>
      <c r="C22" s="107">
        <v>21</v>
      </c>
      <c r="D22" s="113">
        <v>137616786</v>
      </c>
      <c r="E22" s="113">
        <v>81151951.890000001</v>
      </c>
      <c r="F22" s="113">
        <v>218768737.88999999</v>
      </c>
      <c r="G22" s="113">
        <v>70342764.290000007</v>
      </c>
      <c r="H22" s="113">
        <v>60270755.789999999</v>
      </c>
      <c r="I22" s="109">
        <v>51.114959398921002</v>
      </c>
    </row>
    <row r="23" spans="1:9" s="103" customFormat="1" ht="11.25" x14ac:dyDescent="0.2">
      <c r="A23" s="111"/>
      <c r="B23" s="112" t="s">
        <v>158</v>
      </c>
      <c r="C23" s="107">
        <v>22</v>
      </c>
      <c r="D23" s="113">
        <v>2986631935.3200002</v>
      </c>
      <c r="E23" s="113">
        <v>-202866024.44</v>
      </c>
      <c r="F23" s="113">
        <v>2783765910.8800001</v>
      </c>
      <c r="G23" s="113">
        <v>691694473.45000005</v>
      </c>
      <c r="H23" s="113">
        <v>614111324.54999995</v>
      </c>
      <c r="I23" s="109">
        <v>23.159682492844201</v>
      </c>
    </row>
    <row r="24" spans="1:9" s="103" customFormat="1" ht="11.25" x14ac:dyDescent="0.2">
      <c r="A24" s="111"/>
      <c r="B24" s="112" t="s">
        <v>159</v>
      </c>
      <c r="C24" s="107">
        <v>23</v>
      </c>
      <c r="D24" s="113">
        <v>1688667685.8699999</v>
      </c>
      <c r="E24" s="113">
        <v>204957503.66</v>
      </c>
      <c r="F24" s="113">
        <v>1893625189.53</v>
      </c>
      <c r="G24" s="113">
        <v>807642088.62</v>
      </c>
      <c r="H24" s="113">
        <v>722947572.91999996</v>
      </c>
      <c r="I24" s="109">
        <v>47.827177329084947</v>
      </c>
    </row>
    <row r="25" spans="1:9" s="103" customFormat="1" ht="22.5" x14ac:dyDescent="0.2">
      <c r="A25" s="111"/>
      <c r="B25" s="112" t="s">
        <v>160</v>
      </c>
      <c r="C25" s="107">
        <v>24</v>
      </c>
      <c r="D25" s="113">
        <v>462743667</v>
      </c>
      <c r="E25" s="113">
        <v>14214860.460000001</v>
      </c>
      <c r="F25" s="113">
        <v>476958527.45999998</v>
      </c>
      <c r="G25" s="113">
        <v>308756988.55000001</v>
      </c>
      <c r="H25" s="113">
        <v>291796675.89999998</v>
      </c>
      <c r="I25" s="109">
        <v>66.72311488381753</v>
      </c>
    </row>
    <row r="26" spans="1:9" s="103" customFormat="1" ht="11.25" x14ac:dyDescent="0.2">
      <c r="A26" s="111"/>
      <c r="B26" s="112" t="s">
        <v>161</v>
      </c>
      <c r="C26" s="107">
        <v>25</v>
      </c>
      <c r="D26" s="113">
        <v>8340620938.2399998</v>
      </c>
      <c r="E26" s="113">
        <v>62479841.210000001</v>
      </c>
      <c r="F26" s="113">
        <v>8403100779.4499998</v>
      </c>
      <c r="G26" s="113">
        <v>3908471244.0999999</v>
      </c>
      <c r="H26" s="113">
        <v>3703133058.5100002</v>
      </c>
      <c r="I26" s="109">
        <v>46.860674679273309</v>
      </c>
    </row>
    <row r="27" spans="1:9" s="103" customFormat="1" ht="11.25" x14ac:dyDescent="0.2">
      <c r="A27" s="111"/>
      <c r="B27" s="112" t="s">
        <v>162</v>
      </c>
      <c r="C27" s="107">
        <v>26</v>
      </c>
      <c r="D27" s="113">
        <v>5963719142.3199997</v>
      </c>
      <c r="E27" s="113">
        <v>37957572.780000001</v>
      </c>
      <c r="F27" s="113">
        <v>6001676715.0999994</v>
      </c>
      <c r="G27" s="113">
        <v>2752031860.3200002</v>
      </c>
      <c r="H27" s="113">
        <v>2732966190.98</v>
      </c>
      <c r="I27" s="109">
        <v>46.14623517044781</v>
      </c>
    </row>
    <row r="28" spans="1:9" s="103" customFormat="1" ht="11.25" x14ac:dyDescent="0.2">
      <c r="A28" s="111"/>
      <c r="B28" s="112" t="s">
        <v>163</v>
      </c>
      <c r="C28" s="107">
        <v>27</v>
      </c>
      <c r="D28" s="113">
        <v>149648023.91</v>
      </c>
      <c r="E28" s="113">
        <v>-7932803.1600000001</v>
      </c>
      <c r="F28" s="113">
        <v>141715220.75</v>
      </c>
      <c r="G28" s="113">
        <v>39253903.119999997</v>
      </c>
      <c r="H28" s="113">
        <v>35498669.68</v>
      </c>
      <c r="I28" s="109">
        <v>26.230819555363951</v>
      </c>
    </row>
    <row r="29" spans="1:9" s="103" customFormat="1" ht="11.25" x14ac:dyDescent="0.2">
      <c r="A29" s="111"/>
      <c r="B29" s="112"/>
      <c r="C29" s="115"/>
      <c r="D29" s="113"/>
      <c r="E29" s="113"/>
      <c r="F29" s="113"/>
      <c r="G29" s="113"/>
      <c r="H29" s="113"/>
      <c r="I29" s="114"/>
    </row>
    <row r="30" spans="1:9" s="103" customFormat="1" ht="18.600000000000001" customHeight="1" x14ac:dyDescent="0.2">
      <c r="A30" s="306" t="s">
        <v>164</v>
      </c>
      <c r="B30" s="307"/>
      <c r="C30" s="115"/>
      <c r="D30" s="108">
        <v>1430260812.6400001</v>
      </c>
      <c r="E30" s="108">
        <v>324860716.33999991</v>
      </c>
      <c r="F30" s="108">
        <v>1755121528.9799998</v>
      </c>
      <c r="G30" s="108">
        <v>907462495.72000015</v>
      </c>
      <c r="H30" s="108">
        <v>801206751.48000002</v>
      </c>
      <c r="I30" s="109">
        <v>63.447343848076919</v>
      </c>
    </row>
    <row r="31" spans="1:9" s="103" customFormat="1" ht="22.5" x14ac:dyDescent="0.2">
      <c r="A31" s="111"/>
      <c r="B31" s="112" t="s">
        <v>165</v>
      </c>
      <c r="C31" s="107">
        <v>31</v>
      </c>
      <c r="D31" s="113">
        <v>344108607.39999998</v>
      </c>
      <c r="E31" s="113">
        <v>-10794932.880000001</v>
      </c>
      <c r="F31" s="113">
        <v>333313674.51999998</v>
      </c>
      <c r="G31" s="113">
        <v>161445090.40000001</v>
      </c>
      <c r="H31" s="113">
        <v>147476725.34</v>
      </c>
      <c r="I31" s="109">
        <v>46.916899760177294</v>
      </c>
    </row>
    <row r="32" spans="1:9" s="103" customFormat="1" ht="11.25" x14ac:dyDescent="0.2">
      <c r="A32" s="111"/>
      <c r="B32" s="112" t="s">
        <v>166</v>
      </c>
      <c r="C32" s="107">
        <v>32</v>
      </c>
      <c r="D32" s="113">
        <v>237420039.84</v>
      </c>
      <c r="E32" s="113">
        <v>14194369.710000001</v>
      </c>
      <c r="F32" s="113">
        <v>251614409.55000001</v>
      </c>
      <c r="G32" s="113">
        <v>63094280.399999999</v>
      </c>
      <c r="H32" s="113">
        <v>60843140.850000001</v>
      </c>
      <c r="I32" s="109">
        <v>26.574959907562956</v>
      </c>
    </row>
    <row r="33" spans="1:9" s="103" customFormat="1" ht="11.25" x14ac:dyDescent="0.2">
      <c r="A33" s="111"/>
      <c r="B33" s="112" t="s">
        <v>167</v>
      </c>
      <c r="C33" s="107">
        <v>33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09">
        <v>0</v>
      </c>
    </row>
    <row r="34" spans="1:9" s="103" customFormat="1" ht="11.25" x14ac:dyDescent="0.2">
      <c r="A34" s="111"/>
      <c r="B34" s="112" t="s">
        <v>168</v>
      </c>
      <c r="C34" s="107">
        <v>34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09">
        <v>0</v>
      </c>
    </row>
    <row r="35" spans="1:9" s="103" customFormat="1" ht="11.25" x14ac:dyDescent="0.2">
      <c r="A35" s="111"/>
      <c r="B35" s="112" t="s">
        <v>169</v>
      </c>
      <c r="C35" s="107">
        <v>35</v>
      </c>
      <c r="D35" s="113">
        <v>533932308.22000003</v>
      </c>
      <c r="E35" s="113">
        <v>276563289.27999997</v>
      </c>
      <c r="F35" s="113">
        <v>810495597.5</v>
      </c>
      <c r="G35" s="113">
        <v>484237993.63999999</v>
      </c>
      <c r="H35" s="113">
        <v>417041656.49000001</v>
      </c>
      <c r="I35" s="109">
        <v>90.692768762079837</v>
      </c>
    </row>
    <row r="36" spans="1:9" s="103" customFormat="1" ht="11.25" x14ac:dyDescent="0.2">
      <c r="A36" s="111"/>
      <c r="B36" s="112" t="s">
        <v>170</v>
      </c>
      <c r="C36" s="107">
        <v>36</v>
      </c>
      <c r="D36" s="113">
        <v>6327200</v>
      </c>
      <c r="E36" s="113">
        <v>3516324.69</v>
      </c>
      <c r="F36" s="113">
        <v>9843524.6899999995</v>
      </c>
      <c r="G36" s="113">
        <v>8769643.4800000004</v>
      </c>
      <c r="H36" s="113">
        <v>8769643.4800000004</v>
      </c>
      <c r="I36" s="109">
        <v>138.60228031356684</v>
      </c>
    </row>
    <row r="37" spans="1:9" s="103" customFormat="1" ht="11.25" x14ac:dyDescent="0.2">
      <c r="A37" s="111"/>
      <c r="B37" s="112" t="s">
        <v>171</v>
      </c>
      <c r="C37" s="107">
        <v>37</v>
      </c>
      <c r="D37" s="113">
        <v>119816125</v>
      </c>
      <c r="E37" s="113">
        <v>67540824.010000005</v>
      </c>
      <c r="F37" s="113">
        <v>187356949.00999999</v>
      </c>
      <c r="G37" s="113">
        <v>95210051.219999999</v>
      </c>
      <c r="H37" s="113">
        <v>76477865.950000003</v>
      </c>
      <c r="I37" s="109">
        <v>79.46347056374924</v>
      </c>
    </row>
    <row r="38" spans="1:9" s="103" customFormat="1" ht="11.25" x14ac:dyDescent="0.2">
      <c r="A38" s="111"/>
      <c r="B38" s="112" t="s">
        <v>172</v>
      </c>
      <c r="C38" s="107">
        <v>38</v>
      </c>
      <c r="D38" s="113">
        <v>36749437.670000002</v>
      </c>
      <c r="E38" s="113">
        <v>-245757.31</v>
      </c>
      <c r="F38" s="113">
        <v>36503680.359999999</v>
      </c>
      <c r="G38" s="113">
        <v>13909231.369999999</v>
      </c>
      <c r="H38" s="113">
        <v>10367327.93</v>
      </c>
      <c r="I38" s="109">
        <v>37.848827769559712</v>
      </c>
    </row>
    <row r="39" spans="1:9" s="103" customFormat="1" ht="11.25" x14ac:dyDescent="0.2">
      <c r="A39" s="111"/>
      <c r="B39" s="112" t="s">
        <v>173</v>
      </c>
      <c r="C39" s="107">
        <v>39</v>
      </c>
      <c r="D39" s="113">
        <v>151907094.50999999</v>
      </c>
      <c r="E39" s="113">
        <v>-25913401.16</v>
      </c>
      <c r="F39" s="113">
        <v>125993693.34999999</v>
      </c>
      <c r="G39" s="113">
        <v>80796205.209999993</v>
      </c>
      <c r="H39" s="113">
        <v>80230391.439999998</v>
      </c>
      <c r="I39" s="109">
        <v>53.187907694910983</v>
      </c>
    </row>
    <row r="40" spans="1:9" s="103" customFormat="1" ht="11.25" x14ac:dyDescent="0.2">
      <c r="A40" s="111"/>
      <c r="B40" s="112"/>
      <c r="C40" s="107"/>
      <c r="D40" s="113"/>
      <c r="E40" s="113"/>
      <c r="F40" s="113"/>
      <c r="G40" s="113"/>
      <c r="H40" s="113"/>
      <c r="I40" s="114"/>
    </row>
    <row r="41" spans="1:9" s="103" customFormat="1" ht="19.149999999999999" customHeight="1" x14ac:dyDescent="0.2">
      <c r="A41" s="306" t="s">
        <v>174</v>
      </c>
      <c r="B41" s="307"/>
      <c r="C41" s="107"/>
      <c r="D41" s="108">
        <v>7992515209.4699993</v>
      </c>
      <c r="E41" s="108">
        <v>2192188859.9300003</v>
      </c>
      <c r="F41" s="108">
        <v>10184704069.4</v>
      </c>
      <c r="G41" s="108">
        <v>7991193772.9099998</v>
      </c>
      <c r="H41" s="108">
        <v>7831712700.7200003</v>
      </c>
      <c r="I41" s="109">
        <v>99.983466574346537</v>
      </c>
    </row>
    <row r="42" spans="1:9" s="103" customFormat="1" ht="22.5" x14ac:dyDescent="0.2">
      <c r="A42" s="111"/>
      <c r="B42" s="112" t="s">
        <v>175</v>
      </c>
      <c r="C42" s="107">
        <v>41</v>
      </c>
      <c r="D42" s="113">
        <v>2849764262.4699998</v>
      </c>
      <c r="E42" s="113">
        <v>1515591034.05</v>
      </c>
      <c r="F42" s="113">
        <v>4365355296.5199995</v>
      </c>
      <c r="G42" s="113">
        <v>3995379504.1100001</v>
      </c>
      <c r="H42" s="113">
        <v>3994703596.71</v>
      </c>
      <c r="I42" s="109">
        <v>140.20035119140178</v>
      </c>
    </row>
    <row r="43" spans="1:9" s="103" customFormat="1" ht="33.75" x14ac:dyDescent="0.2">
      <c r="A43" s="111"/>
      <c r="B43" s="112" t="s">
        <v>176</v>
      </c>
      <c r="C43" s="107">
        <v>42</v>
      </c>
      <c r="D43" s="113">
        <v>4142750947</v>
      </c>
      <c r="E43" s="113">
        <v>-5033001.5999999996</v>
      </c>
      <c r="F43" s="113">
        <v>4137717945.4000001</v>
      </c>
      <c r="G43" s="113">
        <v>2394363505.71</v>
      </c>
      <c r="H43" s="113">
        <v>2393363505.71</v>
      </c>
      <c r="I43" s="109">
        <v>57.796462696940395</v>
      </c>
    </row>
    <row r="44" spans="1:9" s="103" customFormat="1" ht="11.25" x14ac:dyDescent="0.2">
      <c r="A44" s="111"/>
      <c r="B44" s="112" t="s">
        <v>177</v>
      </c>
      <c r="C44" s="107">
        <v>43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09">
        <v>0</v>
      </c>
    </row>
    <row r="45" spans="1:9" s="103" customFormat="1" ht="11.25" x14ac:dyDescent="0.2">
      <c r="A45" s="111"/>
      <c r="B45" s="112" t="s">
        <v>178</v>
      </c>
      <c r="C45" s="107">
        <v>44</v>
      </c>
      <c r="D45" s="113">
        <v>1000000000</v>
      </c>
      <c r="E45" s="113">
        <v>681630827.48000002</v>
      </c>
      <c r="F45" s="113">
        <v>1681630827.48</v>
      </c>
      <c r="G45" s="113">
        <v>1601450763.0899999</v>
      </c>
      <c r="H45" s="113">
        <v>1443645598.3</v>
      </c>
      <c r="I45" s="109">
        <v>160.14507630899999</v>
      </c>
    </row>
    <row r="46" spans="1:9" s="103" customFormat="1" ht="11.25" x14ac:dyDescent="0.2">
      <c r="A46" s="111"/>
      <c r="B46" s="112"/>
      <c r="C46" s="107"/>
      <c r="D46" s="113"/>
      <c r="E46" s="113"/>
      <c r="F46" s="113"/>
      <c r="G46" s="113"/>
      <c r="H46" s="113"/>
      <c r="I46" s="114"/>
    </row>
    <row r="47" spans="1:9" s="103" customFormat="1" ht="12" thickBot="1" x14ac:dyDescent="0.25">
      <c r="A47" s="304" t="s">
        <v>179</v>
      </c>
      <c r="B47" s="305"/>
      <c r="C47" s="116"/>
      <c r="D47" s="108">
        <v>20086465075.000004</v>
      </c>
      <c r="E47" s="108">
        <v>3070342927.0900002</v>
      </c>
      <c r="F47" s="108">
        <v>23156808002.09</v>
      </c>
      <c r="G47" s="108">
        <v>11852736171.879997</v>
      </c>
      <c r="H47" s="108">
        <v>11564874725.839998</v>
      </c>
      <c r="I47" s="109">
        <v>59.008571829953979</v>
      </c>
    </row>
    <row r="48" spans="1:9" s="103" customFormat="1" ht="11.25" x14ac:dyDescent="0.2">
      <c r="A48" s="304" t="s">
        <v>147</v>
      </c>
      <c r="B48" s="305"/>
      <c r="C48" s="110"/>
      <c r="D48" s="108">
        <v>1629973418.24</v>
      </c>
      <c r="E48" s="108">
        <v>-145197858.41</v>
      </c>
      <c r="F48" s="108">
        <v>1484775559.8299999</v>
      </c>
      <c r="G48" s="108">
        <v>503353924.80000001</v>
      </c>
      <c r="H48" s="108">
        <v>474895818.63999999</v>
      </c>
      <c r="I48" s="109">
        <v>30.881112487313295</v>
      </c>
    </row>
    <row r="49" spans="1:9" s="103" customFormat="1" ht="11.25" x14ac:dyDescent="0.2">
      <c r="A49" s="111"/>
      <c r="B49" s="112" t="s">
        <v>148</v>
      </c>
      <c r="C49" s="107">
        <v>11</v>
      </c>
      <c r="D49" s="113">
        <v>31995563.879999999</v>
      </c>
      <c r="E49" s="113">
        <v>12578402.189999999</v>
      </c>
      <c r="F49" s="113">
        <v>44573966.07</v>
      </c>
      <c r="G49" s="113">
        <v>24996143.449999999</v>
      </c>
      <c r="H49" s="113">
        <v>23846758.039999999</v>
      </c>
      <c r="I49" s="109">
        <v>78.123778483006376</v>
      </c>
    </row>
    <row r="50" spans="1:9" s="103" customFormat="1" ht="11.25" x14ac:dyDescent="0.2">
      <c r="A50" s="111"/>
      <c r="B50" s="112" t="s">
        <v>149</v>
      </c>
      <c r="C50" s="107">
        <v>12</v>
      </c>
      <c r="D50" s="113">
        <v>470468156.88</v>
      </c>
      <c r="E50" s="113">
        <v>22433400.350000001</v>
      </c>
      <c r="F50" s="113">
        <v>492901557.23000002</v>
      </c>
      <c r="G50" s="113">
        <v>186906073.62</v>
      </c>
      <c r="H50" s="113">
        <v>174922822.02000001</v>
      </c>
      <c r="I50" s="109">
        <v>39.727677821917545</v>
      </c>
    </row>
    <row r="51" spans="1:9" s="103" customFormat="1" ht="11.25" x14ac:dyDescent="0.2">
      <c r="A51" s="111"/>
      <c r="B51" s="112" t="s">
        <v>150</v>
      </c>
      <c r="C51" s="107">
        <v>13</v>
      </c>
      <c r="D51" s="113">
        <v>49523683.32</v>
      </c>
      <c r="E51" s="113">
        <v>6583918.0899999999</v>
      </c>
      <c r="F51" s="113">
        <v>56107601.409999996</v>
      </c>
      <c r="G51" s="113">
        <v>23857608.870000001</v>
      </c>
      <c r="H51" s="113">
        <v>20728193.469999999</v>
      </c>
      <c r="I51" s="109">
        <v>48.174140674963027</v>
      </c>
    </row>
    <row r="52" spans="1:9" s="103" customFormat="1" ht="11.25" x14ac:dyDescent="0.2">
      <c r="A52" s="111"/>
      <c r="B52" s="112" t="s">
        <v>151</v>
      </c>
      <c r="C52" s="107">
        <v>14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09">
        <v>0</v>
      </c>
    </row>
    <row r="53" spans="1:9" s="103" customFormat="1" ht="11.25" x14ac:dyDescent="0.2">
      <c r="A53" s="111"/>
      <c r="B53" s="112" t="s">
        <v>152</v>
      </c>
      <c r="C53" s="107">
        <v>15</v>
      </c>
      <c r="D53" s="113">
        <v>255689959.03999999</v>
      </c>
      <c r="E53" s="113">
        <v>-154783750.63</v>
      </c>
      <c r="F53" s="113">
        <v>100906208.41</v>
      </c>
      <c r="G53" s="113">
        <v>32208132.309999999</v>
      </c>
      <c r="H53" s="113">
        <v>27994837.920000002</v>
      </c>
      <c r="I53" s="109">
        <v>12.596557342700102</v>
      </c>
    </row>
    <row r="54" spans="1:9" s="103" customFormat="1" ht="11.25" x14ac:dyDescent="0.2">
      <c r="A54" s="111"/>
      <c r="B54" s="112" t="s">
        <v>153</v>
      </c>
      <c r="C54" s="107">
        <v>16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09">
        <v>0</v>
      </c>
    </row>
    <row r="55" spans="1:9" s="103" customFormat="1" ht="22.5" x14ac:dyDescent="0.2">
      <c r="A55" s="111"/>
      <c r="B55" s="112" t="s">
        <v>154</v>
      </c>
      <c r="C55" s="107">
        <v>17</v>
      </c>
      <c r="D55" s="113">
        <v>794469145.32000005</v>
      </c>
      <c r="E55" s="113">
        <v>-35180569.460000001</v>
      </c>
      <c r="F55" s="113">
        <v>759288575.86000001</v>
      </c>
      <c r="G55" s="113">
        <v>217365395.62</v>
      </c>
      <c r="H55" s="113">
        <v>211739809.94999999</v>
      </c>
      <c r="I55" s="109">
        <v>27.359828496857297</v>
      </c>
    </row>
    <row r="56" spans="1:9" s="103" customFormat="1" ht="11.25" x14ac:dyDescent="0.2">
      <c r="A56" s="111"/>
      <c r="B56" s="112" t="s">
        <v>155</v>
      </c>
      <c r="C56" s="107">
        <v>18</v>
      </c>
      <c r="D56" s="113">
        <v>27826909.800000001</v>
      </c>
      <c r="E56" s="113">
        <v>3170741.05</v>
      </c>
      <c r="F56" s="113">
        <v>30997650.850000001</v>
      </c>
      <c r="G56" s="113">
        <v>18020570.93</v>
      </c>
      <c r="H56" s="113">
        <v>15663397.24</v>
      </c>
      <c r="I56" s="109">
        <v>64.759511780212108</v>
      </c>
    </row>
    <row r="57" spans="1:9" s="103" customFormat="1" ht="11.25" x14ac:dyDescent="0.2">
      <c r="A57" s="111"/>
      <c r="B57" s="112"/>
      <c r="C57" s="107"/>
      <c r="D57" s="113"/>
      <c r="E57" s="113"/>
      <c r="F57" s="113"/>
      <c r="G57" s="113"/>
      <c r="H57" s="113"/>
      <c r="I57" s="114"/>
    </row>
    <row r="58" spans="1:9" s="103" customFormat="1" ht="11.25" x14ac:dyDescent="0.2">
      <c r="A58" s="304" t="s">
        <v>156</v>
      </c>
      <c r="B58" s="305"/>
      <c r="C58" s="107"/>
      <c r="D58" s="108">
        <v>15737964407.720001</v>
      </c>
      <c r="E58" s="108">
        <v>2317171174.7800002</v>
      </c>
      <c r="F58" s="108">
        <v>18055135582.5</v>
      </c>
      <c r="G58" s="108">
        <v>8973163856.829998</v>
      </c>
      <c r="H58" s="108">
        <v>8719131373.9099998</v>
      </c>
      <c r="I58" s="109">
        <v>57.016038569945927</v>
      </c>
    </row>
    <row r="59" spans="1:9" s="103" customFormat="1" ht="11.25" x14ac:dyDescent="0.2">
      <c r="A59" s="111"/>
      <c r="B59" s="112" t="s">
        <v>157</v>
      </c>
      <c r="C59" s="107">
        <v>21</v>
      </c>
      <c r="D59" s="113">
        <v>0</v>
      </c>
      <c r="E59" s="113">
        <v>19850746.460000001</v>
      </c>
      <c r="F59" s="113">
        <v>19850746.460000001</v>
      </c>
      <c r="G59" s="113">
        <v>9676859.6600000001</v>
      </c>
      <c r="H59" s="113">
        <v>6662284.4900000002</v>
      </c>
      <c r="I59" s="109">
        <v>0</v>
      </c>
    </row>
    <row r="60" spans="1:9" s="103" customFormat="1" ht="11.25" x14ac:dyDescent="0.2">
      <c r="A60" s="111"/>
      <c r="B60" s="112" t="s">
        <v>158</v>
      </c>
      <c r="C60" s="107">
        <v>22</v>
      </c>
      <c r="D60" s="113">
        <v>2588723027.3200002</v>
      </c>
      <c r="E60" s="113">
        <v>290789593.08999997</v>
      </c>
      <c r="F60" s="113">
        <v>2879512620.4100003</v>
      </c>
      <c r="G60" s="113">
        <v>682689846.78999996</v>
      </c>
      <c r="H60" s="113">
        <v>589333332.74000001</v>
      </c>
      <c r="I60" s="109">
        <v>26.371683628772026</v>
      </c>
    </row>
    <row r="61" spans="1:9" s="103" customFormat="1" ht="11.25" x14ac:dyDescent="0.2">
      <c r="A61" s="111"/>
      <c r="B61" s="112" t="s">
        <v>159</v>
      </c>
      <c r="C61" s="107">
        <v>23</v>
      </c>
      <c r="D61" s="113">
        <v>3113427239.52</v>
      </c>
      <c r="E61" s="113">
        <v>166711258.44</v>
      </c>
      <c r="F61" s="113">
        <v>3280138497.96</v>
      </c>
      <c r="G61" s="113">
        <v>1706169753.8299999</v>
      </c>
      <c r="H61" s="113">
        <v>1619532983.1600001</v>
      </c>
      <c r="I61" s="109">
        <v>54.800373433266479</v>
      </c>
    </row>
    <row r="62" spans="1:9" s="103" customFormat="1" ht="22.5" x14ac:dyDescent="0.2">
      <c r="A62" s="111"/>
      <c r="B62" s="112" t="s">
        <v>160</v>
      </c>
      <c r="C62" s="107">
        <v>24</v>
      </c>
      <c r="D62" s="113">
        <v>25000000</v>
      </c>
      <c r="E62" s="113">
        <v>92479482.849999994</v>
      </c>
      <c r="F62" s="113">
        <v>117479482.84999999</v>
      </c>
      <c r="G62" s="113">
        <v>39340716.840000004</v>
      </c>
      <c r="H62" s="113">
        <v>29537105.670000002</v>
      </c>
      <c r="I62" s="109">
        <v>157.36286736000002</v>
      </c>
    </row>
    <row r="63" spans="1:9" s="103" customFormat="1" ht="11.25" x14ac:dyDescent="0.2">
      <c r="A63" s="111"/>
      <c r="B63" s="112" t="s">
        <v>161</v>
      </c>
      <c r="C63" s="107">
        <v>25</v>
      </c>
      <c r="D63" s="113">
        <v>9919058091.7600002</v>
      </c>
      <c r="E63" s="113">
        <v>1779284663.0799999</v>
      </c>
      <c r="F63" s="113">
        <v>11698342754.84</v>
      </c>
      <c r="G63" s="113">
        <v>6513597693.2299995</v>
      </c>
      <c r="H63" s="113">
        <v>6452917838.6999998</v>
      </c>
      <c r="I63" s="109">
        <v>65.667502226254754</v>
      </c>
    </row>
    <row r="64" spans="1:9" s="103" customFormat="1" ht="11.25" x14ac:dyDescent="0.2">
      <c r="A64" s="111"/>
      <c r="B64" s="112" t="s">
        <v>162</v>
      </c>
      <c r="C64" s="107">
        <v>26</v>
      </c>
      <c r="D64" s="113">
        <v>420036.36</v>
      </c>
      <c r="E64" s="113">
        <v>18588956.82</v>
      </c>
      <c r="F64" s="113">
        <v>19008993.18</v>
      </c>
      <c r="G64" s="113">
        <v>17778333.300000001</v>
      </c>
      <c r="H64" s="113">
        <v>17747960.600000001</v>
      </c>
      <c r="I64" s="109">
        <v>4232.5700803616146</v>
      </c>
    </row>
    <row r="65" spans="1:9" s="103" customFormat="1" ht="11.25" x14ac:dyDescent="0.2">
      <c r="A65" s="111"/>
      <c r="B65" s="112" t="s">
        <v>163</v>
      </c>
      <c r="C65" s="107">
        <v>27</v>
      </c>
      <c r="D65" s="113">
        <v>91336012.760000005</v>
      </c>
      <c r="E65" s="113">
        <v>-50533525.960000001</v>
      </c>
      <c r="F65" s="113">
        <v>40802486.800000004</v>
      </c>
      <c r="G65" s="113">
        <v>3910653.18</v>
      </c>
      <c r="H65" s="113">
        <v>3399868.55</v>
      </c>
      <c r="I65" s="109">
        <v>4.2816114496653883</v>
      </c>
    </row>
    <row r="66" spans="1:9" s="103" customFormat="1" ht="11.25" x14ac:dyDescent="0.2">
      <c r="A66" s="111"/>
      <c r="B66" s="112"/>
      <c r="C66" s="107"/>
      <c r="D66" s="113"/>
      <c r="E66" s="113"/>
      <c r="F66" s="113"/>
      <c r="G66" s="113"/>
      <c r="H66" s="113"/>
      <c r="I66" s="114"/>
    </row>
    <row r="67" spans="1:9" s="103" customFormat="1" ht="21.6" customHeight="1" x14ac:dyDescent="0.2">
      <c r="A67" s="306" t="s">
        <v>164</v>
      </c>
      <c r="B67" s="307"/>
      <c r="C67" s="107"/>
      <c r="D67" s="108">
        <v>390700773.04000002</v>
      </c>
      <c r="E67" s="108">
        <v>662003578.57999992</v>
      </c>
      <c r="F67" s="108">
        <v>1052704351.6199998</v>
      </c>
      <c r="G67" s="108">
        <v>846341654.53999996</v>
      </c>
      <c r="H67" s="108">
        <v>841469619.57000017</v>
      </c>
      <c r="I67" s="109">
        <v>216.62144355505313</v>
      </c>
    </row>
    <row r="68" spans="1:9" s="103" customFormat="1" ht="22.5" x14ac:dyDescent="0.2">
      <c r="A68" s="111"/>
      <c r="B68" s="112" t="s">
        <v>165</v>
      </c>
      <c r="C68" s="107">
        <v>31</v>
      </c>
      <c r="D68" s="113">
        <v>14914314.119999999</v>
      </c>
      <c r="E68" s="113">
        <v>5375078.7699999996</v>
      </c>
      <c r="F68" s="113">
        <v>20289392.890000001</v>
      </c>
      <c r="G68" s="113">
        <v>12727626.57</v>
      </c>
      <c r="H68" s="113">
        <v>11503595.75</v>
      </c>
      <c r="I68" s="109">
        <v>85.338329792399463</v>
      </c>
    </row>
    <row r="69" spans="1:9" s="103" customFormat="1" ht="11.25" x14ac:dyDescent="0.2">
      <c r="A69" s="111"/>
      <c r="B69" s="112" t="s">
        <v>166</v>
      </c>
      <c r="C69" s="107">
        <v>32</v>
      </c>
      <c r="D69" s="113">
        <v>223152551.16</v>
      </c>
      <c r="E69" s="113">
        <v>185261665.72</v>
      </c>
      <c r="F69" s="113">
        <v>408414216.88</v>
      </c>
      <c r="G69" s="113">
        <v>349863578.18000001</v>
      </c>
      <c r="H69" s="113">
        <v>349049993.04000002</v>
      </c>
      <c r="I69" s="109">
        <v>156.78224441590561</v>
      </c>
    </row>
    <row r="70" spans="1:9" s="103" customFormat="1" ht="11.25" x14ac:dyDescent="0.2">
      <c r="A70" s="111"/>
      <c r="B70" s="112" t="s">
        <v>167</v>
      </c>
      <c r="C70" s="107">
        <v>33</v>
      </c>
      <c r="D70" s="113">
        <v>0</v>
      </c>
      <c r="E70" s="113">
        <v>1095140.07</v>
      </c>
      <c r="F70" s="113">
        <v>1095140.07</v>
      </c>
      <c r="G70" s="113">
        <v>1093270.46</v>
      </c>
      <c r="H70" s="113">
        <v>290070.03999999998</v>
      </c>
      <c r="I70" s="109">
        <v>0</v>
      </c>
    </row>
    <row r="71" spans="1:9" s="103" customFormat="1" ht="11.25" x14ac:dyDescent="0.2">
      <c r="A71" s="111"/>
      <c r="B71" s="112" t="s">
        <v>168</v>
      </c>
      <c r="C71" s="107">
        <v>34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09">
        <v>0</v>
      </c>
    </row>
    <row r="72" spans="1:9" s="103" customFormat="1" ht="11.25" x14ac:dyDescent="0.2">
      <c r="A72" s="111"/>
      <c r="B72" s="112" t="s">
        <v>169</v>
      </c>
      <c r="C72" s="107">
        <v>35</v>
      </c>
      <c r="D72" s="113">
        <v>90541685.319999993</v>
      </c>
      <c r="E72" s="113">
        <v>457289337.5</v>
      </c>
      <c r="F72" s="113">
        <v>547831022.81999993</v>
      </c>
      <c r="G72" s="113">
        <v>468589109.81</v>
      </c>
      <c r="H72" s="113">
        <v>467240302.31</v>
      </c>
      <c r="I72" s="109">
        <v>517.5396372995192</v>
      </c>
    </row>
    <row r="73" spans="1:9" s="103" customFormat="1" ht="11.25" x14ac:dyDescent="0.2">
      <c r="A73" s="111"/>
      <c r="B73" s="112" t="s">
        <v>170</v>
      </c>
      <c r="C73" s="107">
        <v>36</v>
      </c>
      <c r="D73" s="113">
        <v>0</v>
      </c>
      <c r="E73" s="113">
        <v>50908.75</v>
      </c>
      <c r="F73" s="113">
        <v>50908.75</v>
      </c>
      <c r="G73" s="113">
        <v>50908.75</v>
      </c>
      <c r="H73" s="113">
        <v>50908.75</v>
      </c>
      <c r="I73" s="109">
        <v>0</v>
      </c>
    </row>
    <row r="74" spans="1:9" s="103" customFormat="1" ht="11.25" x14ac:dyDescent="0.2">
      <c r="A74" s="111"/>
      <c r="B74" s="112" t="s">
        <v>171</v>
      </c>
      <c r="C74" s="107">
        <v>37</v>
      </c>
      <c r="D74" s="113">
        <v>60000000</v>
      </c>
      <c r="E74" s="113">
        <v>12552703.01</v>
      </c>
      <c r="F74" s="113">
        <v>72552703.010000005</v>
      </c>
      <c r="G74" s="113">
        <v>12552703.01</v>
      </c>
      <c r="H74" s="113">
        <v>12058203.01</v>
      </c>
      <c r="I74" s="109">
        <v>20.921171683333334</v>
      </c>
    </row>
    <row r="75" spans="1:9" s="103" customFormat="1" ht="11.25" x14ac:dyDescent="0.2">
      <c r="A75" s="111"/>
      <c r="B75" s="112" t="s">
        <v>172</v>
      </c>
      <c r="C75" s="107">
        <v>38</v>
      </c>
      <c r="D75" s="113">
        <v>1968078.48</v>
      </c>
      <c r="E75" s="113">
        <v>319041.15999999997</v>
      </c>
      <c r="F75" s="113">
        <v>2287119.64</v>
      </c>
      <c r="G75" s="113">
        <v>1342167.1299999999</v>
      </c>
      <c r="H75" s="113">
        <v>1164711.96</v>
      </c>
      <c r="I75" s="109">
        <v>68.196829732115148</v>
      </c>
    </row>
    <row r="76" spans="1:9" s="103" customFormat="1" ht="11.25" x14ac:dyDescent="0.2">
      <c r="A76" s="111"/>
      <c r="B76" s="112" t="s">
        <v>173</v>
      </c>
      <c r="C76" s="107">
        <v>39</v>
      </c>
      <c r="D76" s="113">
        <v>124143.96</v>
      </c>
      <c r="E76" s="113">
        <v>59703.6</v>
      </c>
      <c r="F76" s="113">
        <v>183847.56</v>
      </c>
      <c r="G76" s="113">
        <v>122290.63</v>
      </c>
      <c r="H76" s="113">
        <v>111834.71</v>
      </c>
      <c r="I76" s="109">
        <v>98.507112226805077</v>
      </c>
    </row>
    <row r="77" spans="1:9" s="103" customFormat="1" ht="11.25" x14ac:dyDescent="0.2">
      <c r="A77" s="111"/>
      <c r="B77" s="112"/>
      <c r="C77" s="107"/>
      <c r="D77" s="113"/>
      <c r="E77" s="113"/>
      <c r="F77" s="113"/>
      <c r="G77" s="113"/>
      <c r="H77" s="113"/>
      <c r="I77" s="114"/>
    </row>
    <row r="78" spans="1:9" s="103" customFormat="1" ht="19.149999999999999" customHeight="1" x14ac:dyDescent="0.2">
      <c r="A78" s="306" t="s">
        <v>174</v>
      </c>
      <c r="B78" s="307"/>
      <c r="C78" s="107"/>
      <c r="D78" s="108">
        <v>2327826476</v>
      </c>
      <c r="E78" s="108">
        <v>236366032.14000002</v>
      </c>
      <c r="F78" s="108">
        <v>2564192508.1400003</v>
      </c>
      <c r="G78" s="108">
        <v>1529876735.71</v>
      </c>
      <c r="H78" s="108">
        <v>1529377913.72</v>
      </c>
      <c r="I78" s="109">
        <v>65.721253344400921</v>
      </c>
    </row>
    <row r="79" spans="1:9" s="103" customFormat="1" ht="22.5" x14ac:dyDescent="0.2">
      <c r="A79" s="111"/>
      <c r="B79" s="112" t="s">
        <v>175</v>
      </c>
      <c r="C79" s="107">
        <v>41</v>
      </c>
      <c r="D79" s="113">
        <v>154130503</v>
      </c>
      <c r="E79" s="113">
        <v>-4130503</v>
      </c>
      <c r="F79" s="113">
        <v>150000000</v>
      </c>
      <c r="G79" s="113">
        <v>150000000</v>
      </c>
      <c r="H79" s="113">
        <v>150000000</v>
      </c>
      <c r="I79" s="109">
        <v>97.320126179047122</v>
      </c>
    </row>
    <row r="80" spans="1:9" s="103" customFormat="1" ht="33.75" x14ac:dyDescent="0.2">
      <c r="A80" s="111"/>
      <c r="B80" s="112" t="s">
        <v>176</v>
      </c>
      <c r="C80" s="107">
        <v>42</v>
      </c>
      <c r="D80" s="113">
        <v>2173695973</v>
      </c>
      <c r="E80" s="113">
        <v>498500.9</v>
      </c>
      <c r="F80" s="113">
        <v>2174194473.9000001</v>
      </c>
      <c r="G80" s="113">
        <v>1140580139.96</v>
      </c>
      <c r="H80" s="113">
        <v>1140081639.0599999</v>
      </c>
      <c r="I80" s="109">
        <v>52.471925886941875</v>
      </c>
    </row>
    <row r="81" spans="1:9" s="103" customFormat="1" ht="11.25" x14ac:dyDescent="0.2">
      <c r="A81" s="111"/>
      <c r="B81" s="112" t="s">
        <v>177</v>
      </c>
      <c r="C81" s="107">
        <v>43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09">
        <v>0</v>
      </c>
    </row>
    <row r="82" spans="1:9" s="103" customFormat="1" ht="11.25" x14ac:dyDescent="0.2">
      <c r="A82" s="111"/>
      <c r="B82" s="112" t="s">
        <v>178</v>
      </c>
      <c r="C82" s="117">
        <v>44</v>
      </c>
      <c r="D82" s="113">
        <v>0</v>
      </c>
      <c r="E82" s="113">
        <v>239998034.24000001</v>
      </c>
      <c r="F82" s="113">
        <v>239998034.24000001</v>
      </c>
      <c r="G82" s="113">
        <v>239296595.75</v>
      </c>
      <c r="H82" s="113">
        <v>239296274.66</v>
      </c>
      <c r="I82" s="109">
        <v>0</v>
      </c>
    </row>
    <row r="83" spans="1:9" s="103" customFormat="1" ht="11.25" x14ac:dyDescent="0.2">
      <c r="A83" s="111"/>
      <c r="B83" s="112"/>
      <c r="C83" s="118"/>
      <c r="D83" s="113"/>
      <c r="E83" s="113"/>
      <c r="F83" s="113"/>
      <c r="G83" s="113"/>
      <c r="H83" s="113"/>
      <c r="I83" s="109">
        <v>0</v>
      </c>
    </row>
    <row r="84" spans="1:9" s="103" customFormat="1" ht="11.25" x14ac:dyDescent="0.2">
      <c r="A84" s="304" t="s">
        <v>180</v>
      </c>
      <c r="B84" s="305"/>
      <c r="C84" s="119">
        <v>0</v>
      </c>
      <c r="D84" s="108">
        <v>56451879944</v>
      </c>
      <c r="E84" s="108">
        <v>6003561251.6900005</v>
      </c>
      <c r="F84" s="108">
        <v>62455441195.690002</v>
      </c>
      <c r="G84" s="108">
        <v>32634915026.809998</v>
      </c>
      <c r="H84" s="108">
        <v>31284229371.199997</v>
      </c>
      <c r="I84" s="109">
        <v>57.810147437399216</v>
      </c>
    </row>
    <row r="85" spans="1:9" s="103" customFormat="1" ht="12" thickBot="1" x14ac:dyDescent="0.25">
      <c r="A85" s="120"/>
      <c r="B85" s="121"/>
      <c r="C85" s="122"/>
      <c r="D85" s="123"/>
      <c r="E85" s="123"/>
      <c r="F85" s="123"/>
      <c r="G85" s="123"/>
      <c r="H85" s="123"/>
      <c r="I85" s="124"/>
    </row>
  </sheetData>
  <mergeCells count="21">
    <mergeCell ref="A30:B30"/>
    <mergeCell ref="A2:I2"/>
    <mergeCell ref="A3:I3"/>
    <mergeCell ref="A4:I4"/>
    <mergeCell ref="A5:I5"/>
    <mergeCell ref="A6:I6"/>
    <mergeCell ref="A7:B8"/>
    <mergeCell ref="D7:H7"/>
    <mergeCell ref="I7:I8"/>
    <mergeCell ref="J8:K12"/>
    <mergeCell ref="A9:B9"/>
    <mergeCell ref="A10:B10"/>
    <mergeCell ref="A11:B11"/>
    <mergeCell ref="A21:B21"/>
    <mergeCell ref="A84:B84"/>
    <mergeCell ref="A41:B41"/>
    <mergeCell ref="A47:B47"/>
    <mergeCell ref="A48:B48"/>
    <mergeCell ref="A58:B58"/>
    <mergeCell ref="A67:B67"/>
    <mergeCell ref="A78:B7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" workbookViewId="0">
      <selection activeCell="L23" sqref="L23"/>
    </sheetView>
  </sheetViews>
  <sheetFormatPr baseColWidth="10" defaultColWidth="11.42578125" defaultRowHeight="12.75" x14ac:dyDescent="0.2"/>
  <cols>
    <col min="1" max="1" width="1.140625" style="25" customWidth="1"/>
    <col min="2" max="2" width="38.85546875" style="126" customWidth="1"/>
    <col min="3" max="3" width="26.42578125" style="25" hidden="1" customWidth="1"/>
    <col min="4" max="4" width="11.7109375" style="25" bestFit="1" customWidth="1"/>
    <col min="5" max="5" width="11.85546875" style="25" bestFit="1" customWidth="1"/>
    <col min="6" max="6" width="11.42578125" style="25" customWidth="1"/>
    <col min="7" max="7" width="11.7109375" style="25" bestFit="1" customWidth="1"/>
    <col min="8" max="8" width="11.5703125" style="25" customWidth="1"/>
    <col min="9" max="9" width="6.7109375" style="25" customWidth="1"/>
    <col min="10" max="16384" width="11.42578125" style="25"/>
  </cols>
  <sheetData>
    <row r="1" spans="1:10" s="31" customFormat="1" hidden="1" x14ac:dyDescent="0.2">
      <c r="A1" s="29" t="s">
        <v>68</v>
      </c>
      <c r="B1" s="125"/>
      <c r="C1" s="29" t="s">
        <v>181</v>
      </c>
      <c r="E1" s="29" t="s">
        <v>69</v>
      </c>
      <c r="F1" s="31" t="str">
        <f>IF(AND(LEN(E1)&gt;0,LEN(E1)&lt;=2),MID(E1,1,2),MID(E1,1,FIND(".",E1)-1))</f>
        <v>1</v>
      </c>
      <c r="G1" s="31" t="str">
        <f>IF(LEN(E1)&gt;2,MID(E1,FIND(".",E1)+2,2),0)</f>
        <v>6</v>
      </c>
      <c r="H1" s="31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s="31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s="31" t="str">
        <f>IF(OR(G1="13",G1="14",G1="15",G1="16"),12,G1)</f>
        <v>6</v>
      </c>
    </row>
    <row r="2" spans="1:10" ht="13.5" thickBot="1" x14ac:dyDescent="0.25"/>
    <row r="3" spans="1:10" ht="18.75" x14ac:dyDescent="0.3">
      <c r="A3" s="252" t="s">
        <v>0</v>
      </c>
      <c r="B3" s="253"/>
      <c r="C3" s="253"/>
      <c r="D3" s="253"/>
      <c r="E3" s="253"/>
      <c r="F3" s="253"/>
      <c r="G3" s="253"/>
      <c r="H3" s="253"/>
      <c r="I3" s="254"/>
    </row>
    <row r="4" spans="1:10" ht="15.75" x14ac:dyDescent="0.25">
      <c r="A4" s="255" t="s">
        <v>1</v>
      </c>
      <c r="B4" s="256"/>
      <c r="C4" s="256"/>
      <c r="D4" s="256"/>
      <c r="E4" s="256"/>
      <c r="F4" s="256"/>
      <c r="G4" s="256"/>
      <c r="H4" s="256"/>
      <c r="I4" s="257"/>
    </row>
    <row r="5" spans="1:10" ht="15" x14ac:dyDescent="0.25">
      <c r="A5" s="258" t="s">
        <v>182</v>
      </c>
      <c r="B5" s="259"/>
      <c r="C5" s="259"/>
      <c r="D5" s="259"/>
      <c r="E5" s="259"/>
      <c r="F5" s="259"/>
      <c r="G5" s="259"/>
      <c r="H5" s="259"/>
      <c r="I5" s="260"/>
    </row>
    <row r="6" spans="1:10" ht="15.75" thickBot="1" x14ac:dyDescent="0.25">
      <c r="A6" s="240" t="s">
        <v>71</v>
      </c>
      <c r="B6" s="241"/>
      <c r="C6" s="241"/>
      <c r="D6" s="241"/>
      <c r="E6" s="241"/>
      <c r="F6" s="241"/>
      <c r="G6" s="241"/>
      <c r="H6" s="241"/>
      <c r="I6" s="261"/>
    </row>
    <row r="7" spans="1:10" ht="15.75" hidden="1" thickBot="1" x14ac:dyDescent="0.3">
      <c r="A7" s="262" t="str">
        <f>CONCATENATE("Elaborado el ",MID(C1,1,2), " de ",IF(MID(C1,4,2)="01","Enero",IF(MID(C1,4,2)="02","Febrero",IF(MID(C1,4,2)="03","Marzo",IF(MID(C1,4,2)="04","Abril",IF(MID(C1,4,2)="05","Mayo",IF(MID(C1,4,2)="06","Junio",IF(MID(C1,4,2)="07","Julio",IF(MID(C1,4,2)="08","Agosto",IF(MID(C1,4,2)="09","Septiembre",IF(MID(C1,4,2)="10","Octubre",IF(MID(C1,4,2)="11","Noviembre","Diciembre")))))))))))," del ",MID(C1,7,4))</f>
        <v>Elaborado el 31 de Julio del 2017</v>
      </c>
      <c r="B7" s="263"/>
      <c r="C7" s="263"/>
      <c r="D7" s="263"/>
      <c r="E7" s="263"/>
      <c r="F7" s="263"/>
      <c r="G7" s="263"/>
      <c r="H7" s="263"/>
      <c r="I7" s="264"/>
    </row>
    <row r="8" spans="1:10" ht="13.5" thickBot="1" x14ac:dyDescent="0.25">
      <c r="A8" s="333" t="s">
        <v>183</v>
      </c>
      <c r="B8" s="334"/>
      <c r="C8" s="335"/>
      <c r="D8" s="342" t="s">
        <v>3</v>
      </c>
      <c r="E8" s="343"/>
      <c r="F8" s="343"/>
      <c r="G8" s="343"/>
      <c r="H8" s="344"/>
      <c r="I8" s="345" t="s">
        <v>72</v>
      </c>
    </row>
    <row r="9" spans="1:10" ht="18.75" thickBot="1" x14ac:dyDescent="0.25">
      <c r="A9" s="336"/>
      <c r="B9" s="337"/>
      <c r="C9" s="338"/>
      <c r="D9" s="127" t="s">
        <v>4</v>
      </c>
      <c r="E9" s="128" t="s">
        <v>5</v>
      </c>
      <c r="F9" s="127" t="s">
        <v>6</v>
      </c>
      <c r="G9" s="127" t="s">
        <v>7</v>
      </c>
      <c r="H9" s="127" t="s">
        <v>8</v>
      </c>
      <c r="I9" s="346"/>
    </row>
    <row r="10" spans="1:10" ht="13.5" thickBot="1" x14ac:dyDescent="0.25">
      <c r="A10" s="339"/>
      <c r="B10" s="340"/>
      <c r="C10" s="341"/>
      <c r="D10" s="129">
        <v>1</v>
      </c>
      <c r="E10" s="130">
        <v>2</v>
      </c>
      <c r="F10" s="129" t="s">
        <v>9</v>
      </c>
      <c r="G10" s="129">
        <v>4</v>
      </c>
      <c r="H10" s="129">
        <v>5</v>
      </c>
      <c r="I10" s="131"/>
    </row>
    <row r="11" spans="1:10" x14ac:dyDescent="0.2">
      <c r="A11" s="132"/>
      <c r="B11" s="133"/>
      <c r="C11" s="134"/>
      <c r="D11" s="135"/>
      <c r="E11" s="136"/>
      <c r="F11" s="137"/>
      <c r="G11" s="137"/>
      <c r="H11" s="137"/>
      <c r="I11" s="138"/>
    </row>
    <row r="12" spans="1:10" x14ac:dyDescent="0.2">
      <c r="A12" s="139"/>
      <c r="B12" s="140" t="s">
        <v>184</v>
      </c>
      <c r="C12" s="141"/>
      <c r="D12" s="142">
        <v>832501080</v>
      </c>
      <c r="E12" s="142">
        <v>3400000</v>
      </c>
      <c r="F12" s="142">
        <v>835901080</v>
      </c>
      <c r="G12" s="142">
        <v>411288621.81</v>
      </c>
      <c r="H12" s="142">
        <v>409952904.24000001</v>
      </c>
      <c r="I12" s="143">
        <v>49.403974564213179</v>
      </c>
    </row>
    <row r="13" spans="1:10" x14ac:dyDescent="0.2">
      <c r="A13" s="144"/>
      <c r="B13" s="140" t="s">
        <v>185</v>
      </c>
      <c r="C13" s="141"/>
      <c r="D13" s="142">
        <v>1100000000</v>
      </c>
      <c r="E13" s="142">
        <v>0</v>
      </c>
      <c r="F13" s="142">
        <v>1100000000</v>
      </c>
      <c r="G13" s="142">
        <v>461624049.19</v>
      </c>
      <c r="H13" s="142">
        <v>428662765.17000002</v>
      </c>
      <c r="I13" s="143">
        <v>41.965822653636366</v>
      </c>
    </row>
    <row r="14" spans="1:10" x14ac:dyDescent="0.2">
      <c r="A14" s="144"/>
      <c r="B14" s="140" t="s">
        <v>186</v>
      </c>
      <c r="C14" s="141"/>
      <c r="D14" s="142">
        <v>234755480</v>
      </c>
      <c r="E14" s="142">
        <v>-96250752.019999996</v>
      </c>
      <c r="F14" s="142">
        <v>138504727.97999999</v>
      </c>
      <c r="G14" s="142">
        <v>77903283.450000003</v>
      </c>
      <c r="H14" s="142">
        <v>74957759.510000005</v>
      </c>
      <c r="I14" s="143">
        <v>33.184862585529423</v>
      </c>
    </row>
    <row r="15" spans="1:10" x14ac:dyDescent="0.2">
      <c r="A15" s="144"/>
      <c r="B15" s="140" t="s">
        <v>187</v>
      </c>
      <c r="C15" s="141"/>
      <c r="D15" s="142">
        <v>423491568</v>
      </c>
      <c r="E15" s="142">
        <v>47142302.950000003</v>
      </c>
      <c r="F15" s="142">
        <v>470633870.94999999</v>
      </c>
      <c r="G15" s="142">
        <v>233022203.33000001</v>
      </c>
      <c r="H15" s="142">
        <v>200775352.28999999</v>
      </c>
      <c r="I15" s="143">
        <v>55.024047923901051</v>
      </c>
    </row>
    <row r="16" spans="1:10" x14ac:dyDescent="0.2">
      <c r="A16" s="144"/>
      <c r="B16" s="140" t="s">
        <v>188</v>
      </c>
      <c r="C16" s="141"/>
      <c r="D16" s="142">
        <v>1741332613.27</v>
      </c>
      <c r="E16" s="142">
        <v>33440530.219999999</v>
      </c>
      <c r="F16" s="142">
        <v>1774773143.49</v>
      </c>
      <c r="G16" s="142">
        <v>1012796997.75</v>
      </c>
      <c r="H16" s="142">
        <v>816109237.42999995</v>
      </c>
      <c r="I16" s="143">
        <v>58.162179358031821</v>
      </c>
    </row>
    <row r="17" spans="1:9" x14ac:dyDescent="0.2">
      <c r="A17" s="144"/>
      <c r="B17" s="140" t="s">
        <v>189</v>
      </c>
      <c r="C17" s="141"/>
      <c r="D17" s="142">
        <v>183967477</v>
      </c>
      <c r="E17" s="142">
        <v>705995.24</v>
      </c>
      <c r="F17" s="142">
        <v>184673472.24000001</v>
      </c>
      <c r="G17" s="142">
        <v>74467714.579999998</v>
      </c>
      <c r="H17" s="142">
        <v>65043206.140000001</v>
      </c>
      <c r="I17" s="143">
        <v>40.478738847954091</v>
      </c>
    </row>
    <row r="18" spans="1:9" x14ac:dyDescent="0.2">
      <c r="A18" s="144"/>
      <c r="B18" s="140" t="s">
        <v>190</v>
      </c>
      <c r="C18" s="141"/>
      <c r="D18" s="142">
        <v>592001576</v>
      </c>
      <c r="E18" s="142">
        <v>48069281.289999999</v>
      </c>
      <c r="F18" s="142">
        <v>640070857.28999996</v>
      </c>
      <c r="G18" s="142">
        <v>232228457.80000001</v>
      </c>
      <c r="H18" s="142">
        <v>189909222.15000001</v>
      </c>
      <c r="I18" s="143">
        <v>39.227675603350086</v>
      </c>
    </row>
    <row r="19" spans="1:9" x14ac:dyDescent="0.2">
      <c r="A19" s="144"/>
      <c r="B19" s="140" t="s">
        <v>191</v>
      </c>
      <c r="C19" s="141"/>
      <c r="D19" s="142">
        <v>16373764198</v>
      </c>
      <c r="E19" s="142">
        <v>1274535104.73</v>
      </c>
      <c r="F19" s="142">
        <v>17648299302.73</v>
      </c>
      <c r="G19" s="142">
        <v>9375455279.8899994</v>
      </c>
      <c r="H19" s="142">
        <v>9143329655.5400009</v>
      </c>
      <c r="I19" s="143">
        <v>57.259010002325425</v>
      </c>
    </row>
    <row r="20" spans="1:9" x14ac:dyDescent="0.2">
      <c r="A20" s="144"/>
      <c r="B20" s="140" t="s">
        <v>192</v>
      </c>
      <c r="C20" s="141"/>
      <c r="D20" s="142">
        <v>4802094925.3900003</v>
      </c>
      <c r="E20" s="142">
        <v>126152566.06999999</v>
      </c>
      <c r="F20" s="142">
        <v>4928247491.46</v>
      </c>
      <c r="G20" s="142">
        <v>2491991680.8499999</v>
      </c>
      <c r="H20" s="142">
        <v>2327111250.73</v>
      </c>
      <c r="I20" s="143">
        <v>51.893844656717484</v>
      </c>
    </row>
    <row r="21" spans="1:9" ht="18.75" x14ac:dyDescent="0.2">
      <c r="A21" s="144"/>
      <c r="B21" s="140" t="s">
        <v>193</v>
      </c>
      <c r="C21" s="141"/>
      <c r="D21" s="142">
        <v>6261152739.4099998</v>
      </c>
      <c r="E21" s="142">
        <v>1082051371.6600001</v>
      </c>
      <c r="F21" s="142">
        <v>7343204111.0699997</v>
      </c>
      <c r="G21" s="142">
        <v>2066145639.96</v>
      </c>
      <c r="H21" s="142">
        <v>1937646579.5799999</v>
      </c>
      <c r="I21" s="143">
        <v>32.999444766055916</v>
      </c>
    </row>
    <row r="22" spans="1:9" x14ac:dyDescent="0.2">
      <c r="A22" s="144"/>
      <c r="B22" s="140" t="s">
        <v>194</v>
      </c>
      <c r="C22" s="141"/>
      <c r="D22" s="142">
        <v>444356236.99000001</v>
      </c>
      <c r="E22" s="142">
        <v>41100790.920000002</v>
      </c>
      <c r="F22" s="142">
        <v>485457027.91000003</v>
      </c>
      <c r="G22" s="142">
        <v>226103384.88999999</v>
      </c>
      <c r="H22" s="142">
        <v>197475265.91999999</v>
      </c>
      <c r="I22" s="143">
        <v>50.883360256534061</v>
      </c>
    </row>
    <row r="23" spans="1:9" ht="18.75" x14ac:dyDescent="0.2">
      <c r="A23" s="144"/>
      <c r="B23" s="140" t="s">
        <v>195</v>
      </c>
      <c r="C23" s="141"/>
      <c r="D23" s="142">
        <v>1267611185</v>
      </c>
      <c r="E23" s="142">
        <v>3051047.36</v>
      </c>
      <c r="F23" s="142">
        <v>1270662232.3599999</v>
      </c>
      <c r="G23" s="142">
        <v>710891909.10000002</v>
      </c>
      <c r="H23" s="142">
        <v>683236544.22000003</v>
      </c>
      <c r="I23" s="143">
        <v>56.081227233727823</v>
      </c>
    </row>
    <row r="24" spans="1:9" x14ac:dyDescent="0.2">
      <c r="A24" s="144"/>
      <c r="B24" s="140" t="s">
        <v>196</v>
      </c>
      <c r="C24" s="141"/>
      <c r="D24" s="142">
        <v>1234121527.5699999</v>
      </c>
      <c r="E24" s="142">
        <v>7292042.2699999996</v>
      </c>
      <c r="F24" s="142">
        <v>1241413569.8399999</v>
      </c>
      <c r="G24" s="142">
        <v>527285041.08999997</v>
      </c>
      <c r="H24" s="142">
        <v>481448406.14999998</v>
      </c>
      <c r="I24" s="143">
        <v>42.725536287194551</v>
      </c>
    </row>
    <row r="25" spans="1:9" x14ac:dyDescent="0.2">
      <c r="A25" s="144"/>
      <c r="B25" s="140" t="s">
        <v>197</v>
      </c>
      <c r="C25" s="141"/>
      <c r="D25" s="142">
        <v>2130409875.9000001</v>
      </c>
      <c r="E25" s="142">
        <v>143905320.69</v>
      </c>
      <c r="F25" s="142">
        <v>2274315196.5900002</v>
      </c>
      <c r="G25" s="142">
        <v>819236543.28999996</v>
      </c>
      <c r="H25" s="142">
        <v>728566894.62</v>
      </c>
      <c r="I25" s="143">
        <v>38.454409762060934</v>
      </c>
    </row>
    <row r="26" spans="1:9" x14ac:dyDescent="0.2">
      <c r="A26" s="144"/>
      <c r="B26" s="140" t="s">
        <v>198</v>
      </c>
      <c r="C26" s="141"/>
      <c r="D26" s="142">
        <v>50673555</v>
      </c>
      <c r="E26" s="142">
        <v>0</v>
      </c>
      <c r="F26" s="142">
        <v>50673555</v>
      </c>
      <c r="G26" s="142">
        <v>21330193.399999999</v>
      </c>
      <c r="H26" s="142">
        <v>20172423.690000001</v>
      </c>
      <c r="I26" s="143">
        <v>42.093343164891429</v>
      </c>
    </row>
    <row r="27" spans="1:9" x14ac:dyDescent="0.2">
      <c r="A27" s="144"/>
      <c r="B27" s="140" t="s">
        <v>199</v>
      </c>
      <c r="C27" s="141"/>
      <c r="D27" s="142">
        <v>133578841</v>
      </c>
      <c r="E27" s="142">
        <v>339342.58</v>
      </c>
      <c r="F27" s="142">
        <v>133918183.58</v>
      </c>
      <c r="G27" s="142">
        <v>60063876.869999997</v>
      </c>
      <c r="H27" s="142">
        <v>54178553.810000002</v>
      </c>
      <c r="I27" s="143">
        <v>44.9651130525979</v>
      </c>
    </row>
    <row r="28" spans="1:9" x14ac:dyDescent="0.2">
      <c r="A28" s="144"/>
      <c r="B28" s="140" t="s">
        <v>200</v>
      </c>
      <c r="C28" s="141"/>
      <c r="D28" s="142">
        <v>38103000</v>
      </c>
      <c r="E28" s="142">
        <v>0</v>
      </c>
      <c r="F28" s="142">
        <v>38103000</v>
      </c>
      <c r="G28" s="142">
        <v>17750000</v>
      </c>
      <c r="H28" s="142">
        <v>17750000</v>
      </c>
      <c r="I28" s="143">
        <v>46.584258457339317</v>
      </c>
    </row>
    <row r="29" spans="1:9" x14ac:dyDescent="0.2">
      <c r="A29" s="144"/>
      <c r="B29" s="140" t="s">
        <v>201</v>
      </c>
      <c r="C29" s="141"/>
      <c r="D29" s="142">
        <v>36650200</v>
      </c>
      <c r="E29" s="142">
        <v>0</v>
      </c>
      <c r="F29" s="142">
        <v>36650200</v>
      </c>
      <c r="G29" s="142">
        <v>18325086</v>
      </c>
      <c r="H29" s="142">
        <v>18325086</v>
      </c>
      <c r="I29" s="143">
        <v>49.999961801027005</v>
      </c>
    </row>
    <row r="30" spans="1:9" ht="27.75" x14ac:dyDescent="0.2">
      <c r="A30" s="144"/>
      <c r="B30" s="140" t="s">
        <v>202</v>
      </c>
      <c r="C30" s="141"/>
      <c r="D30" s="142">
        <v>30364011</v>
      </c>
      <c r="E30" s="142">
        <v>0</v>
      </c>
      <c r="F30" s="142">
        <v>30364011</v>
      </c>
      <c r="G30" s="142">
        <v>16025978.060000001</v>
      </c>
      <c r="H30" s="142">
        <v>14625978.060000001</v>
      </c>
      <c r="I30" s="143">
        <v>52.779516052737563</v>
      </c>
    </row>
    <row r="31" spans="1:9" x14ac:dyDescent="0.2">
      <c r="A31" s="144"/>
      <c r="B31" s="140" t="s">
        <v>203</v>
      </c>
      <c r="C31" s="141"/>
      <c r="D31" s="142">
        <v>7291921181</v>
      </c>
      <c r="E31" s="142">
        <v>11482210.109999999</v>
      </c>
      <c r="F31" s="142">
        <v>7303403391.1099997</v>
      </c>
      <c r="G31" s="142">
        <v>3864515821.3600001</v>
      </c>
      <c r="H31" s="142">
        <v>3777339632.6700001</v>
      </c>
      <c r="I31" s="143">
        <v>52.99722426278376</v>
      </c>
    </row>
    <row r="32" spans="1:9" x14ac:dyDescent="0.2">
      <c r="A32" s="144"/>
      <c r="B32" s="140" t="s">
        <v>204</v>
      </c>
      <c r="C32" s="141"/>
      <c r="D32" s="142">
        <v>4003894765.4699998</v>
      </c>
      <c r="E32" s="142">
        <v>2433089392.77</v>
      </c>
      <c r="F32" s="142">
        <v>6436984158.2399998</v>
      </c>
      <c r="G32" s="142">
        <v>5986126862.9499998</v>
      </c>
      <c r="H32" s="142">
        <v>5827645469.6700001</v>
      </c>
      <c r="I32" s="143">
        <v>149.50759731686691</v>
      </c>
    </row>
    <row r="33" spans="1:9" x14ac:dyDescent="0.2">
      <c r="A33" s="144"/>
      <c r="B33" s="140" t="s">
        <v>205</v>
      </c>
      <c r="C33" s="141"/>
      <c r="D33" s="142" t="s">
        <v>206</v>
      </c>
      <c r="E33" s="142">
        <v>0</v>
      </c>
      <c r="F33" s="142">
        <v>0</v>
      </c>
      <c r="G33" s="142">
        <v>0</v>
      </c>
      <c r="H33" s="142" t="s">
        <v>206</v>
      </c>
      <c r="I33" s="143">
        <v>0</v>
      </c>
    </row>
    <row r="34" spans="1:9" x14ac:dyDescent="0.2">
      <c r="A34" s="144"/>
      <c r="B34" s="140" t="s">
        <v>207</v>
      </c>
      <c r="C34" s="141"/>
      <c r="D34" s="142" t="s">
        <v>206</v>
      </c>
      <c r="E34" s="142">
        <v>172092127.43000001</v>
      </c>
      <c r="F34" s="142">
        <v>172092127.43000001</v>
      </c>
      <c r="G34" s="142">
        <v>0</v>
      </c>
      <c r="H34" s="142" t="s">
        <v>206</v>
      </c>
      <c r="I34" s="143">
        <v>0</v>
      </c>
    </row>
    <row r="35" spans="1:9" ht="18.75" x14ac:dyDescent="0.2">
      <c r="A35" s="144"/>
      <c r="B35" s="140" t="s">
        <v>208</v>
      </c>
      <c r="C35" s="141"/>
      <c r="D35" s="142">
        <v>364382147</v>
      </c>
      <c r="E35" s="142">
        <v>0</v>
      </c>
      <c r="F35" s="142">
        <v>364382147</v>
      </c>
      <c r="G35" s="142">
        <v>182191073.52000001</v>
      </c>
      <c r="H35" s="142">
        <v>151800352.31999999</v>
      </c>
      <c r="I35" s="143">
        <v>50.000000005488744</v>
      </c>
    </row>
    <row r="36" spans="1:9" x14ac:dyDescent="0.2">
      <c r="A36" s="144"/>
      <c r="B36" s="140" t="s">
        <v>209</v>
      </c>
      <c r="C36" s="141"/>
      <c r="D36" s="142">
        <v>907561672</v>
      </c>
      <c r="E36" s="142">
        <v>594389073</v>
      </c>
      <c r="F36" s="142">
        <v>1501950745</v>
      </c>
      <c r="G36" s="142">
        <v>985054987.26999998</v>
      </c>
      <c r="H36" s="142">
        <v>975154987.26999998</v>
      </c>
      <c r="I36" s="143">
        <v>108.53862802504952</v>
      </c>
    </row>
    <row r="37" spans="1:9" ht="18.75" x14ac:dyDescent="0.2">
      <c r="A37" s="144"/>
      <c r="B37" s="140" t="s">
        <v>210</v>
      </c>
      <c r="C37" s="141"/>
      <c r="D37" s="142">
        <v>10600000</v>
      </c>
      <c r="E37" s="142">
        <v>0</v>
      </c>
      <c r="F37" s="142">
        <v>10600000</v>
      </c>
      <c r="G37" s="142">
        <v>5401417.6500000004</v>
      </c>
      <c r="H37" s="142">
        <v>4970869.67</v>
      </c>
      <c r="I37" s="143">
        <v>50.956770283018869</v>
      </c>
    </row>
    <row r="38" spans="1:9" x14ac:dyDescent="0.2">
      <c r="A38" s="144"/>
      <c r="B38" s="140" t="s">
        <v>211</v>
      </c>
      <c r="C38" s="141"/>
      <c r="D38" s="142">
        <v>134177073</v>
      </c>
      <c r="E38" s="142">
        <v>-6894220.7800000003</v>
      </c>
      <c r="F38" s="142">
        <v>127282852.22</v>
      </c>
      <c r="G38" s="142">
        <v>61102030.079999998</v>
      </c>
      <c r="H38" s="142">
        <v>49393015.880000003</v>
      </c>
      <c r="I38" s="143">
        <v>45.538353694747833</v>
      </c>
    </row>
    <row r="39" spans="1:9" x14ac:dyDescent="0.2">
      <c r="A39" s="144"/>
      <c r="B39" s="140" t="s">
        <v>212</v>
      </c>
      <c r="C39" s="141"/>
      <c r="D39" s="142" t="s">
        <v>206</v>
      </c>
      <c r="E39" s="142">
        <v>84467725.200000003</v>
      </c>
      <c r="F39" s="142">
        <v>84467725.200000003</v>
      </c>
      <c r="G39" s="142">
        <v>31022885.670000002</v>
      </c>
      <c r="H39" s="142">
        <v>23083951.469999999</v>
      </c>
      <c r="I39" s="143">
        <v>0</v>
      </c>
    </row>
    <row r="40" spans="1:9" ht="28.5" thickBot="1" x14ac:dyDescent="0.25">
      <c r="A40" s="144"/>
      <c r="B40" s="145" t="s">
        <v>213</v>
      </c>
      <c r="C40" s="146"/>
      <c r="D40" s="147">
        <v>5828413016</v>
      </c>
      <c r="E40" s="147">
        <v>0</v>
      </c>
      <c r="F40" s="147">
        <v>5828413016</v>
      </c>
      <c r="G40" s="147">
        <v>2665564007</v>
      </c>
      <c r="H40" s="147">
        <v>2665564007</v>
      </c>
      <c r="I40" s="148">
        <v>45.733958792600433</v>
      </c>
    </row>
    <row r="41" spans="1:9" ht="13.5" thickBot="1" x14ac:dyDescent="0.25">
      <c r="A41" s="149"/>
      <c r="B41" s="150" t="s">
        <v>11</v>
      </c>
      <c r="C41" s="151"/>
      <c r="D41" s="152">
        <v>56451879944.000008</v>
      </c>
      <c r="E41" s="152">
        <v>6003561251.6900005</v>
      </c>
      <c r="F41" s="152">
        <v>62455441195.690002</v>
      </c>
      <c r="G41" s="152">
        <v>32634915026.810005</v>
      </c>
      <c r="H41" s="152">
        <v>31284229371.199997</v>
      </c>
      <c r="I41" s="153">
        <v>57.810147437399216</v>
      </c>
    </row>
  </sheetData>
  <mergeCells count="8">
    <mergeCell ref="A8:C10"/>
    <mergeCell ref="D8:H8"/>
    <mergeCell ref="I8:I9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2" workbookViewId="0">
      <selection activeCell="M17" sqref="M17"/>
    </sheetView>
  </sheetViews>
  <sheetFormatPr baseColWidth="10" defaultRowHeight="12.75" x14ac:dyDescent="0.2"/>
  <cols>
    <col min="1" max="1" width="35.7109375" style="171" customWidth="1"/>
    <col min="2" max="2" width="7.28515625" hidden="1" customWidth="1"/>
    <col min="3" max="3" width="12" bestFit="1" customWidth="1"/>
    <col min="4" max="4" width="11.7109375" customWidth="1"/>
    <col min="5" max="6" width="11.7109375" bestFit="1" customWidth="1"/>
    <col min="7" max="7" width="11.42578125" bestFit="1" customWidth="1"/>
    <col min="8" max="8" width="5.85546875" customWidth="1"/>
  </cols>
  <sheetData>
    <row r="1" spans="1:10" ht="13.5" hidden="1" thickBot="1" x14ac:dyDescent="0.25">
      <c r="A1" s="154" t="s">
        <v>68</v>
      </c>
      <c r="E1" s="93" t="s">
        <v>69</v>
      </c>
      <c r="F1" t="str">
        <f>IF(AND(LEN(E1)&gt;0,LEN(E1)&lt;=2),MID(E1,1,2),MID(E1,1,FIND(".",E1)-1))</f>
        <v>1</v>
      </c>
      <c r="G1" t="str">
        <f>IF(LEN(E1)&gt;2,MID(E1,FIND(".",E1)+2,2),0)</f>
        <v>6</v>
      </c>
      <c r="I1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t="str">
        <f>IF(OR(G1="13",G1="14",G1="15",G1="16"),12,G1)</f>
        <v>6</v>
      </c>
    </row>
    <row r="2" spans="1:10" ht="15.75" x14ac:dyDescent="0.2">
      <c r="A2" s="348" t="s">
        <v>0</v>
      </c>
      <c r="B2" s="349"/>
      <c r="C2" s="349"/>
      <c r="D2" s="349"/>
      <c r="E2" s="349"/>
      <c r="F2" s="349"/>
      <c r="G2" s="349"/>
      <c r="H2" s="349"/>
    </row>
    <row r="3" spans="1:10" x14ac:dyDescent="0.2">
      <c r="A3" s="350" t="s">
        <v>138</v>
      </c>
      <c r="B3" s="351"/>
      <c r="C3" s="351"/>
      <c r="D3" s="351"/>
      <c r="E3" s="351"/>
      <c r="F3" s="351"/>
      <c r="G3" s="351"/>
      <c r="H3" s="351"/>
    </row>
    <row r="4" spans="1:10" x14ac:dyDescent="0.2">
      <c r="A4" s="350" t="s">
        <v>182</v>
      </c>
      <c r="B4" s="351"/>
      <c r="C4" s="351"/>
      <c r="D4" s="351"/>
      <c r="E4" s="351"/>
      <c r="F4" s="351"/>
      <c r="G4" s="351"/>
      <c r="H4" s="351"/>
    </row>
    <row r="5" spans="1:10" x14ac:dyDescent="0.2">
      <c r="A5" s="352" t="s">
        <v>214</v>
      </c>
      <c r="B5" s="353"/>
      <c r="C5" s="353"/>
      <c r="D5" s="353"/>
      <c r="E5" s="353"/>
      <c r="F5" s="353"/>
      <c r="G5" s="353"/>
      <c r="H5" s="353"/>
    </row>
    <row r="6" spans="1:10" ht="13.5" thickBot="1" x14ac:dyDescent="0.25">
      <c r="A6" s="354" t="s">
        <v>140</v>
      </c>
      <c r="B6" s="355"/>
      <c r="C6" s="355"/>
      <c r="D6" s="355"/>
      <c r="E6" s="355"/>
      <c r="F6" s="355"/>
      <c r="G6" s="355"/>
      <c r="H6" s="355"/>
    </row>
    <row r="7" spans="1:10" ht="13.9" customHeight="1" thickBot="1" x14ac:dyDescent="0.25">
      <c r="A7" s="356" t="s">
        <v>141</v>
      </c>
      <c r="B7" s="155"/>
      <c r="C7" s="358" t="s">
        <v>3</v>
      </c>
      <c r="D7" s="359"/>
      <c r="E7" s="359"/>
      <c r="F7" s="359"/>
      <c r="G7" s="360"/>
      <c r="H7" s="356" t="s">
        <v>72</v>
      </c>
      <c r="I7" s="347"/>
      <c r="J7" s="347"/>
    </row>
    <row r="8" spans="1:10" ht="17.45" customHeight="1" thickBot="1" x14ac:dyDescent="0.25">
      <c r="A8" s="357"/>
      <c r="B8" s="156" t="s">
        <v>215</v>
      </c>
      <c r="C8" s="157" t="s">
        <v>143</v>
      </c>
      <c r="D8" s="156" t="s">
        <v>216</v>
      </c>
      <c r="E8" s="156" t="s">
        <v>6</v>
      </c>
      <c r="F8" s="156" t="s">
        <v>7</v>
      </c>
      <c r="G8" s="156" t="s">
        <v>8</v>
      </c>
      <c r="H8" s="361"/>
      <c r="I8" s="347"/>
      <c r="J8" s="347"/>
    </row>
    <row r="9" spans="1:10" x14ac:dyDescent="0.2">
      <c r="A9" s="158" t="s">
        <v>217</v>
      </c>
      <c r="B9" s="158"/>
      <c r="C9" s="159"/>
      <c r="D9" s="159"/>
      <c r="E9" s="159"/>
      <c r="F9" s="159"/>
      <c r="G9" s="159"/>
      <c r="H9" s="159"/>
      <c r="I9" s="347"/>
      <c r="J9" s="347"/>
    </row>
    <row r="10" spans="1:10" x14ac:dyDescent="0.2">
      <c r="A10" s="158" t="s">
        <v>218</v>
      </c>
      <c r="B10" s="158"/>
      <c r="C10" s="160">
        <v>36365414869</v>
      </c>
      <c r="D10" s="160">
        <v>2933218324.6000004</v>
      </c>
      <c r="E10" s="160">
        <v>39298633193.599991</v>
      </c>
      <c r="F10" s="160">
        <v>20782178854.93</v>
      </c>
      <c r="G10" s="160">
        <v>19719354645.360001</v>
      </c>
      <c r="H10" s="161">
        <v>57.148196795758111</v>
      </c>
      <c r="I10" s="347"/>
      <c r="J10" s="347"/>
    </row>
    <row r="11" spans="1:10" x14ac:dyDescent="0.2">
      <c r="A11" s="101" t="s">
        <v>219</v>
      </c>
      <c r="B11" s="98" t="s">
        <v>220</v>
      </c>
      <c r="C11" s="162">
        <v>832501080</v>
      </c>
      <c r="D11" s="162">
        <v>-7482108.0199999996</v>
      </c>
      <c r="E11" s="163">
        <v>825018971.98000002</v>
      </c>
      <c r="F11" s="162">
        <v>400406513.79000002</v>
      </c>
      <c r="G11" s="162">
        <v>399070796.22000003</v>
      </c>
      <c r="H11" s="161">
        <v>48.096816137463755</v>
      </c>
      <c r="I11" s="347"/>
      <c r="J11" s="347"/>
    </row>
    <row r="12" spans="1:10" x14ac:dyDescent="0.2">
      <c r="A12" s="101" t="s">
        <v>221</v>
      </c>
      <c r="B12" s="98" t="s">
        <v>222</v>
      </c>
      <c r="C12" s="162">
        <v>1025627252.84</v>
      </c>
      <c r="D12" s="162">
        <v>14737776.970000001</v>
      </c>
      <c r="E12" s="163">
        <v>1040365029.8100001</v>
      </c>
      <c r="F12" s="162">
        <v>411630114.66000003</v>
      </c>
      <c r="G12" s="162">
        <v>378668830.63999999</v>
      </c>
      <c r="H12" s="161">
        <v>40.134475124386654</v>
      </c>
    </row>
    <row r="13" spans="1:10" x14ac:dyDescent="0.2">
      <c r="A13" s="101" t="s">
        <v>223</v>
      </c>
      <c r="B13" s="98" t="s">
        <v>224</v>
      </c>
      <c r="C13" s="162">
        <v>221690822.84</v>
      </c>
      <c r="D13" s="162">
        <v>-92489013.060000002</v>
      </c>
      <c r="E13" s="163">
        <v>129201809.78</v>
      </c>
      <c r="F13" s="162">
        <v>71391710.640000001</v>
      </c>
      <c r="G13" s="162">
        <v>68913929.5</v>
      </c>
      <c r="H13" s="161">
        <v>32.203277395711254</v>
      </c>
    </row>
    <row r="14" spans="1:10" x14ac:dyDescent="0.2">
      <c r="A14" s="101" t="s">
        <v>225</v>
      </c>
      <c r="B14" s="98" t="s">
        <v>226</v>
      </c>
      <c r="C14" s="162">
        <v>385856152.56</v>
      </c>
      <c r="D14" s="162">
        <v>31767510.760000002</v>
      </c>
      <c r="E14" s="163">
        <v>417623663.31999999</v>
      </c>
      <c r="F14" s="162">
        <v>204951422.12</v>
      </c>
      <c r="G14" s="162">
        <v>174821154.16</v>
      </c>
      <c r="H14" s="161">
        <v>53.116017655862159</v>
      </c>
    </row>
    <row r="15" spans="1:10" x14ac:dyDescent="0.2">
      <c r="A15" s="101" t="s">
        <v>227</v>
      </c>
      <c r="B15" s="98" t="s">
        <v>228</v>
      </c>
      <c r="C15" s="162">
        <v>1661780136.4300001</v>
      </c>
      <c r="D15" s="162">
        <v>16902410.030000001</v>
      </c>
      <c r="E15" s="163">
        <v>1678682546.46</v>
      </c>
      <c r="F15" s="162">
        <v>960188982.58000004</v>
      </c>
      <c r="G15" s="162">
        <v>770395745.88</v>
      </c>
      <c r="H15" s="161">
        <v>57.780747376290861</v>
      </c>
    </row>
    <row r="16" spans="1:10" x14ac:dyDescent="0.2">
      <c r="A16" s="101" t="s">
        <v>229</v>
      </c>
      <c r="B16" s="98" t="s">
        <v>230</v>
      </c>
      <c r="C16" s="162">
        <v>156100174.47999999</v>
      </c>
      <c r="D16" s="162">
        <v>-676194.84</v>
      </c>
      <c r="E16" s="163">
        <v>155423979.63999999</v>
      </c>
      <c r="F16" s="162">
        <v>62603115.359999999</v>
      </c>
      <c r="G16" s="162">
        <v>54021483.810000002</v>
      </c>
      <c r="H16" s="161">
        <v>40.104449318229875</v>
      </c>
    </row>
    <row r="17" spans="1:8" x14ac:dyDescent="0.2">
      <c r="A17" s="101" t="s">
        <v>231</v>
      </c>
      <c r="B17" s="98" t="s">
        <v>232</v>
      </c>
      <c r="C17" s="162">
        <v>475507388.12</v>
      </c>
      <c r="D17" s="162">
        <v>1634335.92</v>
      </c>
      <c r="E17" s="163">
        <v>477141724.04000002</v>
      </c>
      <c r="F17" s="162">
        <v>185170167.74000001</v>
      </c>
      <c r="G17" s="162">
        <v>149785766.03999999</v>
      </c>
      <c r="H17" s="161">
        <v>38.941596359228406</v>
      </c>
    </row>
    <row r="18" spans="1:8" x14ac:dyDescent="0.2">
      <c r="A18" s="101" t="s">
        <v>233</v>
      </c>
      <c r="B18" s="98" t="s">
        <v>234</v>
      </c>
      <c r="C18" s="162">
        <v>7159618110.2399998</v>
      </c>
      <c r="D18" s="162">
        <v>155516371.66</v>
      </c>
      <c r="E18" s="163">
        <v>7315134481.8999996</v>
      </c>
      <c r="F18" s="162">
        <v>3661261407.73</v>
      </c>
      <c r="G18" s="162">
        <v>3462232990.8800001</v>
      </c>
      <c r="H18" s="161">
        <v>51.137663369132824</v>
      </c>
    </row>
    <row r="19" spans="1:8" x14ac:dyDescent="0.2">
      <c r="A19" s="101" t="s">
        <v>235</v>
      </c>
      <c r="B19" s="98" t="s">
        <v>236</v>
      </c>
      <c r="C19" s="162">
        <v>1688667685.8699999</v>
      </c>
      <c r="D19" s="162">
        <v>-30743005.440000001</v>
      </c>
      <c r="E19" s="163">
        <v>1657924680.4299998</v>
      </c>
      <c r="F19" s="162">
        <v>787272051.98000002</v>
      </c>
      <c r="G19" s="162">
        <v>708371487.04999995</v>
      </c>
      <c r="H19" s="161">
        <v>46.620898745652148</v>
      </c>
    </row>
    <row r="20" spans="1:8" ht="18" x14ac:dyDescent="0.2">
      <c r="A20" s="101" t="s">
        <v>237</v>
      </c>
      <c r="B20" s="98" t="s">
        <v>238</v>
      </c>
      <c r="C20" s="162">
        <v>3352732700.0100002</v>
      </c>
      <c r="D20" s="162">
        <v>383078131.76999998</v>
      </c>
      <c r="E20" s="163">
        <v>3735810831.7800002</v>
      </c>
      <c r="F20" s="162">
        <v>881937107.12</v>
      </c>
      <c r="G20" s="162">
        <v>800222415.27999997</v>
      </c>
      <c r="H20" s="161">
        <v>26.305022977744976</v>
      </c>
    </row>
    <row r="21" spans="1:8" x14ac:dyDescent="0.2">
      <c r="A21" s="101" t="s">
        <v>239</v>
      </c>
      <c r="B21" s="98" t="s">
        <v>240</v>
      </c>
      <c r="C21" s="162">
        <v>380103498.06999999</v>
      </c>
      <c r="D21" s="162">
        <v>25384688.140000001</v>
      </c>
      <c r="E21" s="163">
        <v>405488186.20999998</v>
      </c>
      <c r="F21" s="162">
        <v>208380603.91999999</v>
      </c>
      <c r="G21" s="162">
        <v>180086235.75999999</v>
      </c>
      <c r="H21" s="161">
        <v>54.822069509506207</v>
      </c>
    </row>
    <row r="22" spans="1:8" ht="18" x14ac:dyDescent="0.2">
      <c r="A22" s="101" t="s">
        <v>241</v>
      </c>
      <c r="B22" s="98" t="s">
        <v>242</v>
      </c>
      <c r="C22" s="162">
        <v>844458633.84000003</v>
      </c>
      <c r="D22" s="162">
        <v>1124897.82</v>
      </c>
      <c r="E22" s="163">
        <v>845583531.66000009</v>
      </c>
      <c r="F22" s="162">
        <v>360363847.10000002</v>
      </c>
      <c r="G22" s="162">
        <v>333522067.36000001</v>
      </c>
      <c r="H22" s="161">
        <v>42.673949043699203</v>
      </c>
    </row>
    <row r="23" spans="1:8" ht="18" x14ac:dyDescent="0.2">
      <c r="A23" s="101" t="s">
        <v>243</v>
      </c>
      <c r="B23" s="98" t="s">
        <v>244</v>
      </c>
      <c r="C23" s="162">
        <v>1104053963.25</v>
      </c>
      <c r="D23" s="162">
        <v>-31581487.329999998</v>
      </c>
      <c r="E23" s="163">
        <v>1072472475.92</v>
      </c>
      <c r="F23" s="162">
        <v>466700251.01999998</v>
      </c>
      <c r="G23" s="162">
        <v>428538333.07999998</v>
      </c>
      <c r="H23" s="161">
        <v>42.271507241020714</v>
      </c>
    </row>
    <row r="24" spans="1:8" ht="18" x14ac:dyDescent="0.2">
      <c r="A24" s="101" t="s">
        <v>245</v>
      </c>
      <c r="B24" s="98" t="s">
        <v>246</v>
      </c>
      <c r="C24" s="162">
        <v>1489329904.46</v>
      </c>
      <c r="D24" s="162">
        <v>32360385.370000001</v>
      </c>
      <c r="E24" s="163">
        <v>1521690289.8299999</v>
      </c>
      <c r="F24" s="162">
        <v>663514923.60000002</v>
      </c>
      <c r="G24" s="162">
        <v>582641425.70000005</v>
      </c>
      <c r="H24" s="161">
        <v>44.551238890256265</v>
      </c>
    </row>
    <row r="25" spans="1:8" ht="18" x14ac:dyDescent="0.2">
      <c r="A25" s="101" t="s">
        <v>247</v>
      </c>
      <c r="B25" s="98" t="s">
        <v>248</v>
      </c>
      <c r="C25" s="162">
        <v>50673555</v>
      </c>
      <c r="D25" s="162">
        <v>-2066160.31</v>
      </c>
      <c r="E25" s="163">
        <v>48607394.689999998</v>
      </c>
      <c r="F25" s="162">
        <v>19264033.09</v>
      </c>
      <c r="G25" s="162">
        <v>18106263.379999999</v>
      </c>
      <c r="H25" s="161">
        <v>38.015949522388951</v>
      </c>
    </row>
    <row r="26" spans="1:8" x14ac:dyDescent="0.2">
      <c r="A26" s="101" t="s">
        <v>249</v>
      </c>
      <c r="B26" s="98" t="s">
        <v>250</v>
      </c>
      <c r="C26" s="162">
        <v>122793121.84</v>
      </c>
      <c r="D26" s="162">
        <v>-980330.9</v>
      </c>
      <c r="E26" s="163">
        <v>121812790.94</v>
      </c>
      <c r="F26" s="162">
        <v>53335746.75</v>
      </c>
      <c r="G26" s="162">
        <v>48351159.619999997</v>
      </c>
      <c r="H26" s="161">
        <v>43.435451392380692</v>
      </c>
    </row>
    <row r="27" spans="1:8" x14ac:dyDescent="0.2">
      <c r="A27" s="101" t="s">
        <v>251</v>
      </c>
      <c r="B27" s="98">
        <v>117</v>
      </c>
      <c r="C27" s="162">
        <v>38103000</v>
      </c>
      <c r="D27" s="162">
        <v>0</v>
      </c>
      <c r="E27" s="163">
        <v>38103000</v>
      </c>
      <c r="F27" s="162">
        <v>17750000</v>
      </c>
      <c r="G27" s="162">
        <v>17750000</v>
      </c>
      <c r="H27" s="161">
        <v>46.584258457339317</v>
      </c>
    </row>
    <row r="28" spans="1:8" x14ac:dyDescent="0.2">
      <c r="A28" s="101" t="s">
        <v>252</v>
      </c>
      <c r="B28" s="98">
        <v>118</v>
      </c>
      <c r="C28" s="162">
        <v>36650200</v>
      </c>
      <c r="D28" s="162">
        <v>-306867.7</v>
      </c>
      <c r="E28" s="163">
        <v>36343332.299999997</v>
      </c>
      <c r="F28" s="162">
        <v>18018218.300000001</v>
      </c>
      <c r="G28" s="162">
        <v>18018218.300000001</v>
      </c>
      <c r="H28" s="161">
        <v>49.162673873539575</v>
      </c>
    </row>
    <row r="29" spans="1:8" ht="27" x14ac:dyDescent="0.2">
      <c r="A29" s="101" t="s">
        <v>253</v>
      </c>
      <c r="B29" s="98">
        <v>119</v>
      </c>
      <c r="C29" s="162">
        <v>30364011</v>
      </c>
      <c r="D29" s="162">
        <v>-145600.88</v>
      </c>
      <c r="E29" s="163">
        <v>30218410.120000001</v>
      </c>
      <c r="F29" s="162">
        <v>15880377.18</v>
      </c>
      <c r="G29" s="162">
        <v>14480377.18</v>
      </c>
      <c r="H29" s="161">
        <v>52.299998112897541</v>
      </c>
    </row>
    <row r="30" spans="1:8" x14ac:dyDescent="0.2">
      <c r="A30" s="101" t="s">
        <v>254</v>
      </c>
      <c r="B30" s="98" t="s">
        <v>255</v>
      </c>
      <c r="C30" s="162">
        <v>4220950947</v>
      </c>
      <c r="D30" s="162">
        <v>10682842.84</v>
      </c>
      <c r="E30" s="163">
        <v>4231633789.8400002</v>
      </c>
      <c r="F30" s="162">
        <v>2419929350.1500001</v>
      </c>
      <c r="G30" s="162">
        <v>2416813505.71</v>
      </c>
      <c r="H30" s="161">
        <v>57.331378178415967</v>
      </c>
    </row>
    <row r="31" spans="1:8" x14ac:dyDescent="0.2">
      <c r="A31" s="101" t="s">
        <v>256</v>
      </c>
      <c r="B31" s="98" t="s">
        <v>257</v>
      </c>
      <c r="C31" s="162">
        <v>3849764262.4699998</v>
      </c>
      <c r="D31" s="162">
        <v>2197221861.5300002</v>
      </c>
      <c r="E31" s="163">
        <v>6046986124</v>
      </c>
      <c r="F31" s="162">
        <v>5596830267.1999998</v>
      </c>
      <c r="G31" s="162">
        <v>5438349195.0100002</v>
      </c>
      <c r="H31" s="161">
        <v>145.38111649488602</v>
      </c>
    </row>
    <row r="32" spans="1:8" x14ac:dyDescent="0.2">
      <c r="A32" s="101" t="s">
        <v>258</v>
      </c>
      <c r="B32" s="98" t="s">
        <v>259</v>
      </c>
      <c r="C32" s="162">
        <v>0</v>
      </c>
      <c r="D32" s="162">
        <v>0</v>
      </c>
      <c r="E32" s="163">
        <v>0</v>
      </c>
      <c r="F32" s="162">
        <v>0</v>
      </c>
      <c r="G32" s="162">
        <v>0</v>
      </c>
      <c r="H32" s="161">
        <v>0</v>
      </c>
    </row>
    <row r="33" spans="1:8" x14ac:dyDescent="0.2">
      <c r="A33" s="101" t="s">
        <v>260</v>
      </c>
      <c r="B33" s="98" t="s">
        <v>261</v>
      </c>
      <c r="C33" s="162">
        <v>0</v>
      </c>
      <c r="D33" s="162">
        <v>172092127.43000001</v>
      </c>
      <c r="E33" s="163">
        <v>172092127.43000001</v>
      </c>
      <c r="F33" s="162">
        <v>0</v>
      </c>
      <c r="G33" s="162">
        <v>0</v>
      </c>
      <c r="H33" s="161">
        <v>0</v>
      </c>
    </row>
    <row r="34" spans="1:8" ht="18" x14ac:dyDescent="0.2">
      <c r="A34" s="101" t="s">
        <v>262</v>
      </c>
      <c r="B34" s="98">
        <v>124</v>
      </c>
      <c r="C34" s="162">
        <v>364382147</v>
      </c>
      <c r="D34" s="162">
        <v>0</v>
      </c>
      <c r="E34" s="163">
        <v>364382147</v>
      </c>
      <c r="F34" s="162">
        <v>182191073.52000001</v>
      </c>
      <c r="G34" s="162">
        <v>151800352.31999999</v>
      </c>
      <c r="H34" s="161">
        <v>50.000000005488744</v>
      </c>
    </row>
    <row r="35" spans="1:8" x14ac:dyDescent="0.2">
      <c r="A35" s="101" t="s">
        <v>263</v>
      </c>
      <c r="B35" s="98" t="s">
        <v>264</v>
      </c>
      <c r="C35" s="162">
        <v>907561672</v>
      </c>
      <c r="D35" s="162">
        <v>-14257082.449999999</v>
      </c>
      <c r="E35" s="163">
        <v>893304589.54999995</v>
      </c>
      <c r="F35" s="162">
        <v>376408831.81999999</v>
      </c>
      <c r="G35" s="162">
        <v>366508831.81999999</v>
      </c>
      <c r="H35" s="161">
        <v>41.474738679797397</v>
      </c>
    </row>
    <row r="36" spans="1:8" ht="18" x14ac:dyDescent="0.2">
      <c r="A36" s="101" t="s">
        <v>265</v>
      </c>
      <c r="B36" s="98" t="s">
        <v>266</v>
      </c>
      <c r="C36" s="162">
        <v>10600000</v>
      </c>
      <c r="D36" s="162">
        <v>0</v>
      </c>
      <c r="E36" s="163">
        <v>10600000</v>
      </c>
      <c r="F36" s="162">
        <v>5401417.6500000004</v>
      </c>
      <c r="G36" s="162">
        <v>4970869.67</v>
      </c>
      <c r="H36" s="161">
        <v>50.956770283018869</v>
      </c>
    </row>
    <row r="37" spans="1:8" x14ac:dyDescent="0.2">
      <c r="A37" s="101" t="s">
        <v>267</v>
      </c>
      <c r="B37" s="98" t="s">
        <v>268</v>
      </c>
      <c r="C37" s="162">
        <v>127131433.68000001</v>
      </c>
      <c r="D37" s="162">
        <v>-7856054.4299999997</v>
      </c>
      <c r="E37" s="163">
        <v>119275379.25</v>
      </c>
      <c r="F37" s="162">
        <v>56483146.200000003</v>
      </c>
      <c r="G37" s="162">
        <v>45376324.590000004</v>
      </c>
      <c r="H37" s="161">
        <v>44.42893827672281</v>
      </c>
    </row>
    <row r="38" spans="1:8" ht="18" x14ac:dyDescent="0.2">
      <c r="A38" s="101" t="s">
        <v>269</v>
      </c>
      <c r="B38" s="98">
        <v>128</v>
      </c>
      <c r="C38" s="162">
        <v>0</v>
      </c>
      <c r="D38" s="162">
        <v>79298889.719999999</v>
      </c>
      <c r="E38" s="163">
        <v>79298889.719999999</v>
      </c>
      <c r="F38" s="162">
        <v>29350166.710000001</v>
      </c>
      <c r="G38" s="162">
        <v>21972879.399999999</v>
      </c>
      <c r="H38" s="161">
        <v>0</v>
      </c>
    </row>
    <row r="39" spans="1:8" ht="27" x14ac:dyDescent="0.2">
      <c r="A39" s="101" t="s">
        <v>270</v>
      </c>
      <c r="B39" s="98" t="s">
        <v>271</v>
      </c>
      <c r="C39" s="162">
        <v>5828413016</v>
      </c>
      <c r="D39" s="162">
        <v>0</v>
      </c>
      <c r="E39" s="163">
        <v>5828413016</v>
      </c>
      <c r="F39" s="162">
        <v>2665564007</v>
      </c>
      <c r="G39" s="162">
        <v>2665564007</v>
      </c>
      <c r="H39" s="161">
        <v>45.733958792600433</v>
      </c>
    </row>
    <row r="40" spans="1:8" x14ac:dyDescent="0.2">
      <c r="A40" s="101"/>
      <c r="B40" s="98"/>
      <c r="C40" s="162"/>
      <c r="D40" s="162"/>
      <c r="E40" s="162"/>
      <c r="F40" s="162"/>
      <c r="G40" s="162"/>
      <c r="H40" s="162"/>
    </row>
    <row r="41" spans="1:8" x14ac:dyDescent="0.2">
      <c r="A41" s="158" t="s">
        <v>272</v>
      </c>
      <c r="B41" s="98"/>
      <c r="C41" s="163"/>
      <c r="D41" s="163"/>
      <c r="E41" s="163"/>
      <c r="F41" s="163"/>
      <c r="G41" s="163"/>
      <c r="H41" s="163"/>
    </row>
    <row r="42" spans="1:8" x14ac:dyDescent="0.2">
      <c r="A42" s="158" t="s">
        <v>273</v>
      </c>
      <c r="B42" s="98"/>
      <c r="C42" s="160">
        <v>20086465075</v>
      </c>
      <c r="D42" s="160">
        <v>3070342927.0899992</v>
      </c>
      <c r="E42" s="160">
        <v>23156808002.090004</v>
      </c>
      <c r="F42" s="160">
        <v>11852736171.879999</v>
      </c>
      <c r="G42" s="160">
        <v>11564874725.84</v>
      </c>
      <c r="H42" s="161">
        <v>59.008571829954008</v>
      </c>
    </row>
    <row r="43" spans="1:8" x14ac:dyDescent="0.2">
      <c r="A43" s="101" t="s">
        <v>219</v>
      </c>
      <c r="B43" s="98" t="s">
        <v>220</v>
      </c>
      <c r="C43" s="162">
        <v>0</v>
      </c>
      <c r="D43" s="162">
        <v>10882108.02</v>
      </c>
      <c r="E43" s="163">
        <v>10882108.02</v>
      </c>
      <c r="F43" s="162">
        <v>10882108.02</v>
      </c>
      <c r="G43" s="162">
        <v>10882108.02</v>
      </c>
      <c r="H43" s="161">
        <v>0</v>
      </c>
    </row>
    <row r="44" spans="1:8" x14ac:dyDescent="0.2">
      <c r="A44" s="101" t="s">
        <v>221</v>
      </c>
      <c r="B44" s="98" t="s">
        <v>222</v>
      </c>
      <c r="C44" s="162">
        <v>74372747.159999996</v>
      </c>
      <c r="D44" s="162">
        <v>-14737776.970000001</v>
      </c>
      <c r="E44" s="163">
        <v>59634970.189999998</v>
      </c>
      <c r="F44" s="162">
        <v>49993934.530000001</v>
      </c>
      <c r="G44" s="162">
        <v>49993934.530000001</v>
      </c>
      <c r="H44" s="161">
        <v>67.22077163889989</v>
      </c>
    </row>
    <row r="45" spans="1:8" x14ac:dyDescent="0.2">
      <c r="A45" s="101" t="s">
        <v>223</v>
      </c>
      <c r="B45" s="98" t="s">
        <v>224</v>
      </c>
      <c r="C45" s="162">
        <v>13064657.16</v>
      </c>
      <c r="D45" s="162">
        <v>-3761738.96</v>
      </c>
      <c r="E45" s="163">
        <v>9302918.1999999993</v>
      </c>
      <c r="F45" s="162">
        <v>6511572.8099999996</v>
      </c>
      <c r="G45" s="162">
        <v>6043830.0099999998</v>
      </c>
      <c r="H45" s="161">
        <v>49.841130389065633</v>
      </c>
    </row>
    <row r="46" spans="1:8" x14ac:dyDescent="0.2">
      <c r="A46" s="101" t="s">
        <v>225</v>
      </c>
      <c r="B46" s="98" t="s">
        <v>226</v>
      </c>
      <c r="C46" s="162">
        <v>37635415.439999998</v>
      </c>
      <c r="D46" s="162">
        <v>15374792.189999999</v>
      </c>
      <c r="E46" s="163">
        <v>53010207.629999995</v>
      </c>
      <c r="F46" s="162">
        <v>28070781.210000001</v>
      </c>
      <c r="G46" s="162">
        <v>25954198.129999999</v>
      </c>
      <c r="H46" s="161">
        <v>74.586080376212806</v>
      </c>
    </row>
    <row r="47" spans="1:8" x14ac:dyDescent="0.2">
      <c r="A47" s="101" t="s">
        <v>227</v>
      </c>
      <c r="B47" s="98" t="s">
        <v>228</v>
      </c>
      <c r="C47" s="162">
        <v>79552476.840000004</v>
      </c>
      <c r="D47" s="162">
        <v>16538120.189999999</v>
      </c>
      <c r="E47" s="163">
        <v>96090597.030000001</v>
      </c>
      <c r="F47" s="162">
        <v>52608015.170000002</v>
      </c>
      <c r="G47" s="162">
        <v>45713491.549999997</v>
      </c>
      <c r="H47" s="161">
        <v>66.129952529080811</v>
      </c>
    </row>
    <row r="48" spans="1:8" x14ac:dyDescent="0.2">
      <c r="A48" s="101" t="s">
        <v>229</v>
      </c>
      <c r="B48" s="98" t="s">
        <v>230</v>
      </c>
      <c r="C48" s="162">
        <v>27867302.52</v>
      </c>
      <c r="D48" s="162">
        <v>1382190.0800000001</v>
      </c>
      <c r="E48" s="163">
        <v>29249492.600000001</v>
      </c>
      <c r="F48" s="162">
        <v>11864599.220000001</v>
      </c>
      <c r="G48" s="162">
        <v>11021722.33</v>
      </c>
      <c r="H48" s="161">
        <v>42.575341518917853</v>
      </c>
    </row>
    <row r="49" spans="1:8" x14ac:dyDescent="0.2">
      <c r="A49" s="101" t="s">
        <v>231</v>
      </c>
      <c r="B49" s="98" t="s">
        <v>232</v>
      </c>
      <c r="C49" s="162">
        <v>116494187.88</v>
      </c>
      <c r="D49" s="162">
        <v>46434945.369999997</v>
      </c>
      <c r="E49" s="163">
        <v>162929133.25</v>
      </c>
      <c r="F49" s="162">
        <v>47058290.060000002</v>
      </c>
      <c r="G49" s="162">
        <v>40123456.109999999</v>
      </c>
      <c r="H49" s="161">
        <v>40.395397329585649</v>
      </c>
    </row>
    <row r="50" spans="1:8" x14ac:dyDescent="0.2">
      <c r="A50" s="101" t="s">
        <v>233</v>
      </c>
      <c r="B50" s="98" t="s">
        <v>234</v>
      </c>
      <c r="C50" s="162">
        <v>9214146087.7600002</v>
      </c>
      <c r="D50" s="162">
        <v>1119018733.0699999</v>
      </c>
      <c r="E50" s="163">
        <v>10333164820.83</v>
      </c>
      <c r="F50" s="162">
        <v>5714193872.1599998</v>
      </c>
      <c r="G50" s="162">
        <v>5681096664.6599998</v>
      </c>
      <c r="H50" s="161">
        <v>62.015446876305667</v>
      </c>
    </row>
    <row r="51" spans="1:8" x14ac:dyDescent="0.2">
      <c r="A51" s="101" t="s">
        <v>235</v>
      </c>
      <c r="B51" s="98" t="s">
        <v>236</v>
      </c>
      <c r="C51" s="162">
        <v>3113427239.52</v>
      </c>
      <c r="D51" s="162">
        <v>156895571.50999999</v>
      </c>
      <c r="E51" s="163">
        <v>3270322811.0299997</v>
      </c>
      <c r="F51" s="162">
        <v>1704719628.8699999</v>
      </c>
      <c r="G51" s="162">
        <v>1618739763.6800001</v>
      </c>
      <c r="H51" s="161">
        <v>54.753796948626245</v>
      </c>
    </row>
    <row r="52" spans="1:8" ht="18" x14ac:dyDescent="0.2">
      <c r="A52" s="101" t="s">
        <v>237</v>
      </c>
      <c r="B52" s="98" t="s">
        <v>238</v>
      </c>
      <c r="C52" s="162">
        <v>2908420039.4000001</v>
      </c>
      <c r="D52" s="162">
        <v>698973239.88999999</v>
      </c>
      <c r="E52" s="163">
        <v>3607393279.29</v>
      </c>
      <c r="F52" s="162">
        <v>1184208532.8399999</v>
      </c>
      <c r="G52" s="162">
        <v>1137424164.3</v>
      </c>
      <c r="H52" s="161">
        <v>40.716558021113727</v>
      </c>
    </row>
    <row r="53" spans="1:8" x14ac:dyDescent="0.2">
      <c r="A53" s="101" t="s">
        <v>239</v>
      </c>
      <c r="B53" s="98" t="s">
        <v>240</v>
      </c>
      <c r="C53" s="162">
        <v>64252738.920000002</v>
      </c>
      <c r="D53" s="162">
        <v>15716102.779999999</v>
      </c>
      <c r="E53" s="163">
        <v>79968841.700000003</v>
      </c>
      <c r="F53" s="162">
        <v>17722780.969999999</v>
      </c>
      <c r="G53" s="162">
        <v>17389030.16</v>
      </c>
      <c r="H53" s="161">
        <v>27.582919059787216</v>
      </c>
    </row>
    <row r="54" spans="1:8" ht="18" x14ac:dyDescent="0.2">
      <c r="A54" s="101" t="s">
        <v>241</v>
      </c>
      <c r="B54" s="98" t="s">
        <v>242</v>
      </c>
      <c r="C54" s="162">
        <v>423152551.16000003</v>
      </c>
      <c r="D54" s="162">
        <v>1926149.54</v>
      </c>
      <c r="E54" s="163">
        <v>425078700.70000005</v>
      </c>
      <c r="F54" s="162">
        <v>350528062</v>
      </c>
      <c r="G54" s="162">
        <v>349714476.86000001</v>
      </c>
      <c r="H54" s="161">
        <v>82.837279614429249</v>
      </c>
    </row>
    <row r="55" spans="1:8" ht="18" x14ac:dyDescent="0.2">
      <c r="A55" s="101" t="s">
        <v>243</v>
      </c>
      <c r="B55" s="98" t="s">
        <v>244</v>
      </c>
      <c r="C55" s="162">
        <v>130067564.31999999</v>
      </c>
      <c r="D55" s="162">
        <v>38873529.600000001</v>
      </c>
      <c r="E55" s="163">
        <v>168941093.91999999</v>
      </c>
      <c r="F55" s="162">
        <v>60584790.07</v>
      </c>
      <c r="G55" s="162">
        <v>52910073.07</v>
      </c>
      <c r="H55" s="161">
        <v>46.579476125919975</v>
      </c>
    </row>
    <row r="56" spans="1:8" ht="18" x14ac:dyDescent="0.2">
      <c r="A56" s="101" t="s">
        <v>245</v>
      </c>
      <c r="B56" s="98" t="s">
        <v>246</v>
      </c>
      <c r="C56" s="162">
        <v>641079971.44000006</v>
      </c>
      <c r="D56" s="162">
        <v>111544935.31999999</v>
      </c>
      <c r="E56" s="163">
        <v>752624906.75999999</v>
      </c>
      <c r="F56" s="162">
        <v>155721619.69</v>
      </c>
      <c r="G56" s="162">
        <v>145925468.91999999</v>
      </c>
      <c r="H56" s="161">
        <v>24.290513918289566</v>
      </c>
    </row>
    <row r="57" spans="1:8" ht="18" x14ac:dyDescent="0.2">
      <c r="A57" s="101" t="s">
        <v>247</v>
      </c>
      <c r="B57" s="98" t="s">
        <v>248</v>
      </c>
      <c r="C57" s="162">
        <v>0</v>
      </c>
      <c r="D57" s="162">
        <v>2066160.31</v>
      </c>
      <c r="E57" s="163">
        <v>2066160.31</v>
      </c>
      <c r="F57" s="162">
        <v>2066160.31</v>
      </c>
      <c r="G57" s="162">
        <v>2066160.31</v>
      </c>
      <c r="H57" s="161">
        <v>0</v>
      </c>
    </row>
    <row r="58" spans="1:8" x14ac:dyDescent="0.2">
      <c r="A58" s="101" t="s">
        <v>249</v>
      </c>
      <c r="B58" s="98" t="s">
        <v>250</v>
      </c>
      <c r="C58" s="162">
        <v>10785719.16</v>
      </c>
      <c r="D58" s="162">
        <v>1319673.48</v>
      </c>
      <c r="E58" s="163">
        <v>12105392.640000001</v>
      </c>
      <c r="F58" s="162">
        <v>6728130.1200000001</v>
      </c>
      <c r="G58" s="162">
        <v>5827394.1900000004</v>
      </c>
      <c r="H58" s="161">
        <v>62.379986166819499</v>
      </c>
    </row>
    <row r="59" spans="1:8" x14ac:dyDescent="0.2">
      <c r="A59" s="101" t="s">
        <v>251</v>
      </c>
      <c r="B59" s="98">
        <v>117</v>
      </c>
      <c r="C59" s="162">
        <v>0</v>
      </c>
      <c r="D59" s="162">
        <v>0</v>
      </c>
      <c r="E59" s="163">
        <v>0</v>
      </c>
      <c r="F59" s="162">
        <v>0</v>
      </c>
      <c r="G59" s="162">
        <v>0</v>
      </c>
      <c r="H59" s="161">
        <v>0</v>
      </c>
    </row>
    <row r="60" spans="1:8" x14ac:dyDescent="0.2">
      <c r="A60" s="101" t="s">
        <v>252</v>
      </c>
      <c r="B60" s="98">
        <v>118</v>
      </c>
      <c r="C60" s="162">
        <v>0</v>
      </c>
      <c r="D60" s="162">
        <v>306867.7</v>
      </c>
      <c r="E60" s="163">
        <v>306867.7</v>
      </c>
      <c r="F60" s="162">
        <v>306867.7</v>
      </c>
      <c r="G60" s="162">
        <v>306867.7</v>
      </c>
      <c r="H60" s="161">
        <v>0</v>
      </c>
    </row>
    <row r="61" spans="1:8" ht="27" x14ac:dyDescent="0.2">
      <c r="A61" s="101" t="s">
        <v>253</v>
      </c>
      <c r="B61" s="98">
        <v>119</v>
      </c>
      <c r="C61" s="162">
        <v>0</v>
      </c>
      <c r="D61" s="162">
        <v>145600.88</v>
      </c>
      <c r="E61" s="163">
        <v>145600.88</v>
      </c>
      <c r="F61" s="162">
        <v>145600.88</v>
      </c>
      <c r="G61" s="162">
        <v>145600.88</v>
      </c>
      <c r="H61" s="161">
        <v>0</v>
      </c>
    </row>
    <row r="62" spans="1:8" x14ac:dyDescent="0.2">
      <c r="A62" s="101" t="s">
        <v>254</v>
      </c>
      <c r="B62" s="98" t="s">
        <v>255</v>
      </c>
      <c r="C62" s="162">
        <v>3070970234</v>
      </c>
      <c r="D62" s="162">
        <v>799367.27</v>
      </c>
      <c r="E62" s="163">
        <v>3071769601.27</v>
      </c>
      <c r="F62" s="162">
        <v>1444586471.21</v>
      </c>
      <c r="G62" s="162">
        <v>1360526126.96</v>
      </c>
      <c r="H62" s="161">
        <v>47.040067507538076</v>
      </c>
    </row>
    <row r="63" spans="1:8" x14ac:dyDescent="0.2">
      <c r="A63" s="101" t="s">
        <v>256</v>
      </c>
      <c r="B63" s="98" t="s">
        <v>257</v>
      </c>
      <c r="C63" s="162">
        <v>154130503</v>
      </c>
      <c r="D63" s="162">
        <v>235867531.24000001</v>
      </c>
      <c r="E63" s="163">
        <v>389998034.24000001</v>
      </c>
      <c r="F63" s="162">
        <v>389296595.75</v>
      </c>
      <c r="G63" s="162">
        <v>389296274.66000003</v>
      </c>
      <c r="H63" s="161">
        <v>252.57595879642332</v>
      </c>
    </row>
    <row r="64" spans="1:8" x14ac:dyDescent="0.2">
      <c r="A64" s="101" t="s">
        <v>258</v>
      </c>
      <c r="B64" s="98" t="s">
        <v>259</v>
      </c>
      <c r="C64" s="162">
        <v>0</v>
      </c>
      <c r="D64" s="162">
        <v>0</v>
      </c>
      <c r="E64" s="163">
        <v>0</v>
      </c>
      <c r="F64" s="162">
        <v>0</v>
      </c>
      <c r="G64" s="162">
        <v>0</v>
      </c>
      <c r="H64" s="161">
        <v>0</v>
      </c>
    </row>
    <row r="65" spans="1:8" x14ac:dyDescent="0.2">
      <c r="A65" s="101" t="s">
        <v>260</v>
      </c>
      <c r="B65" s="98" t="s">
        <v>261</v>
      </c>
      <c r="C65" s="162">
        <v>0</v>
      </c>
      <c r="D65" s="162">
        <v>0</v>
      </c>
      <c r="E65" s="163">
        <v>0</v>
      </c>
      <c r="F65" s="162">
        <v>0</v>
      </c>
      <c r="G65" s="162">
        <v>0</v>
      </c>
      <c r="H65" s="161">
        <v>0</v>
      </c>
    </row>
    <row r="66" spans="1:8" ht="18" x14ac:dyDescent="0.2">
      <c r="A66" s="101" t="s">
        <v>262</v>
      </c>
      <c r="B66" s="98">
        <v>124</v>
      </c>
      <c r="C66" s="162">
        <v>0</v>
      </c>
      <c r="D66" s="162">
        <v>0</v>
      </c>
      <c r="E66" s="163">
        <v>0</v>
      </c>
      <c r="F66" s="162">
        <v>0</v>
      </c>
      <c r="G66" s="162">
        <v>0</v>
      </c>
      <c r="H66" s="161">
        <v>0</v>
      </c>
    </row>
    <row r="67" spans="1:8" x14ac:dyDescent="0.2">
      <c r="A67" s="101" t="s">
        <v>263</v>
      </c>
      <c r="B67" s="98" t="s">
        <v>264</v>
      </c>
      <c r="C67" s="162">
        <v>0</v>
      </c>
      <c r="D67" s="162">
        <v>608646155.45000005</v>
      </c>
      <c r="E67" s="163">
        <v>608646155.45000005</v>
      </c>
      <c r="F67" s="162">
        <v>608646155.45000005</v>
      </c>
      <c r="G67" s="162">
        <v>608646155.45000005</v>
      </c>
      <c r="H67" s="161">
        <v>0</v>
      </c>
    </row>
    <row r="68" spans="1:8" ht="18" x14ac:dyDescent="0.2">
      <c r="A68" s="101" t="s">
        <v>265</v>
      </c>
      <c r="B68" s="98" t="s">
        <v>266</v>
      </c>
      <c r="C68" s="162">
        <v>0</v>
      </c>
      <c r="D68" s="162">
        <v>0</v>
      </c>
      <c r="E68" s="163">
        <v>0</v>
      </c>
      <c r="F68" s="162">
        <v>0</v>
      </c>
      <c r="G68" s="162">
        <v>0</v>
      </c>
      <c r="H68" s="161">
        <v>0</v>
      </c>
    </row>
    <row r="69" spans="1:8" x14ac:dyDescent="0.2">
      <c r="A69" s="101" t="s">
        <v>267</v>
      </c>
      <c r="B69" s="98" t="s">
        <v>268</v>
      </c>
      <c r="C69" s="162">
        <v>7045639.3200000003</v>
      </c>
      <c r="D69" s="162">
        <v>961833.65</v>
      </c>
      <c r="E69" s="163">
        <v>8007472.9700000007</v>
      </c>
      <c r="F69" s="162">
        <v>4618883.88</v>
      </c>
      <c r="G69" s="162">
        <v>4016691.29</v>
      </c>
      <c r="H69" s="161">
        <v>65.556632552686494</v>
      </c>
    </row>
    <row r="70" spans="1:8" ht="18" x14ac:dyDescent="0.2">
      <c r="A70" s="101" t="s">
        <v>269</v>
      </c>
      <c r="B70" s="98">
        <v>128</v>
      </c>
      <c r="C70" s="162">
        <v>0</v>
      </c>
      <c r="D70" s="162">
        <v>5168835.4800000004</v>
      </c>
      <c r="E70" s="163">
        <v>5168835.4800000004</v>
      </c>
      <c r="F70" s="162">
        <v>1672718.96</v>
      </c>
      <c r="G70" s="162">
        <v>1111072.07</v>
      </c>
      <c r="H70" s="161">
        <v>0</v>
      </c>
    </row>
    <row r="71" spans="1:8" ht="27" x14ac:dyDescent="0.2">
      <c r="A71" s="101" t="s">
        <v>270</v>
      </c>
      <c r="B71" s="98" t="s">
        <v>271</v>
      </c>
      <c r="C71" s="162">
        <v>0</v>
      </c>
      <c r="D71" s="162">
        <v>0</v>
      </c>
      <c r="E71" s="163">
        <v>0</v>
      </c>
      <c r="F71" s="162">
        <v>0</v>
      </c>
      <c r="G71" s="162">
        <v>0</v>
      </c>
      <c r="H71" s="161">
        <v>0</v>
      </c>
    </row>
    <row r="72" spans="1:8" x14ac:dyDescent="0.2">
      <c r="A72" s="101"/>
      <c r="B72" s="98"/>
      <c r="C72" s="162"/>
      <c r="D72" s="162"/>
      <c r="E72" s="162"/>
      <c r="F72" s="162"/>
      <c r="G72" s="162"/>
      <c r="H72" s="162"/>
    </row>
    <row r="73" spans="1:8" x14ac:dyDescent="0.2">
      <c r="A73" s="164" t="s">
        <v>180</v>
      </c>
      <c r="B73" s="165"/>
      <c r="C73" s="166">
        <v>56451879944</v>
      </c>
      <c r="D73" s="166">
        <v>6003561251.6899996</v>
      </c>
      <c r="E73" s="166">
        <v>62455441195.689995</v>
      </c>
      <c r="F73" s="166">
        <v>32634915026.809998</v>
      </c>
      <c r="G73" s="166">
        <v>31284229371.200001</v>
      </c>
      <c r="H73" s="167">
        <v>57.810147437399216</v>
      </c>
    </row>
    <row r="74" spans="1:8" ht="13.5" thickBot="1" x14ac:dyDescent="0.25">
      <c r="A74" s="168"/>
      <c r="B74" s="169"/>
      <c r="C74" s="170"/>
      <c r="D74" s="170"/>
      <c r="E74" s="170"/>
      <c r="F74" s="170"/>
      <c r="G74" s="170"/>
      <c r="H74" s="170"/>
    </row>
    <row r="76" spans="1:8" x14ac:dyDescent="0.2">
      <c r="D76" s="172"/>
      <c r="G76" s="172"/>
      <c r="H76" s="172"/>
    </row>
    <row r="77" spans="1:8" x14ac:dyDescent="0.2">
      <c r="C77" s="172"/>
      <c r="D77" s="172"/>
      <c r="E77" s="172"/>
      <c r="F77" s="172"/>
      <c r="G77" s="172"/>
      <c r="H77" s="172"/>
    </row>
    <row r="79" spans="1:8" x14ac:dyDescent="0.2">
      <c r="C79" s="172"/>
      <c r="D79" s="172"/>
      <c r="E79" s="172"/>
      <c r="F79" s="172"/>
      <c r="G79" s="172"/>
      <c r="H79" s="172"/>
    </row>
  </sheetData>
  <mergeCells count="9">
    <mergeCell ref="I7:J11"/>
    <mergeCell ref="A2:H2"/>
    <mergeCell ref="A3:H3"/>
    <mergeCell ref="A4:H4"/>
    <mergeCell ref="A5:H5"/>
    <mergeCell ref="A6:H6"/>
    <mergeCell ref="A7:A8"/>
    <mergeCell ref="C7:G7"/>
    <mergeCell ref="H7:H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M10" sqref="M10"/>
    </sheetView>
  </sheetViews>
  <sheetFormatPr baseColWidth="10" defaultRowHeight="16.5" x14ac:dyDescent="0.3"/>
  <cols>
    <col min="1" max="1" width="4.7109375" style="39" customWidth="1"/>
    <col min="2" max="2" width="11.42578125" style="39"/>
    <col min="3" max="3" width="26.85546875" style="39" customWidth="1"/>
    <col min="4" max="4" width="12" style="39" bestFit="1" customWidth="1"/>
    <col min="5" max="5" width="12.42578125" style="39" customWidth="1"/>
    <col min="6" max="8" width="12" style="39" bestFit="1" customWidth="1"/>
    <col min="9" max="9" width="7.7109375" style="39" customWidth="1"/>
    <col min="10" max="16384" width="11.42578125" style="39"/>
  </cols>
  <sheetData>
    <row r="1" spans="1:9" x14ac:dyDescent="0.3">
      <c r="A1" s="173"/>
      <c r="B1" s="174"/>
      <c r="C1" s="173"/>
      <c r="D1" s="173"/>
      <c r="E1" s="173"/>
      <c r="F1" s="173"/>
      <c r="G1" s="173"/>
      <c r="H1" s="173"/>
      <c r="I1" s="173"/>
    </row>
    <row r="2" spans="1:9" ht="18.75" x14ac:dyDescent="0.3">
      <c r="A2" s="364" t="s">
        <v>0</v>
      </c>
      <c r="B2" s="364"/>
      <c r="C2" s="364"/>
      <c r="D2" s="364"/>
      <c r="E2" s="364"/>
      <c r="F2" s="364"/>
      <c r="G2" s="364"/>
      <c r="H2" s="364"/>
      <c r="I2" s="364"/>
    </row>
    <row r="3" spans="1:9" x14ac:dyDescent="0.3">
      <c r="A3" s="365" t="s">
        <v>1</v>
      </c>
      <c r="B3" s="365"/>
      <c r="C3" s="365"/>
      <c r="D3" s="365"/>
      <c r="E3" s="365"/>
      <c r="F3" s="365"/>
      <c r="G3" s="365"/>
      <c r="H3" s="365"/>
      <c r="I3" s="365"/>
    </row>
    <row r="4" spans="1:9" x14ac:dyDescent="0.3">
      <c r="A4" s="366" t="s">
        <v>346</v>
      </c>
      <c r="B4" s="366"/>
      <c r="C4" s="366"/>
      <c r="D4" s="366"/>
      <c r="E4" s="366"/>
      <c r="F4" s="366"/>
      <c r="G4" s="366"/>
      <c r="H4" s="366"/>
      <c r="I4" s="366"/>
    </row>
    <row r="5" spans="1:9" ht="17.25" thickBot="1" x14ac:dyDescent="0.35">
      <c r="A5" s="285" t="s">
        <v>71</v>
      </c>
      <c r="B5" s="285"/>
      <c r="C5" s="285"/>
      <c r="D5" s="285"/>
      <c r="E5" s="285"/>
      <c r="F5" s="285"/>
      <c r="G5" s="285"/>
      <c r="H5" s="285"/>
      <c r="I5" s="285"/>
    </row>
    <row r="6" spans="1:9" ht="19.149999999999999" customHeight="1" thickBot="1" x14ac:dyDescent="0.35">
      <c r="A6" s="370" t="s">
        <v>103</v>
      </c>
      <c r="B6" s="371"/>
      <c r="C6" s="372"/>
      <c r="D6" s="367" t="s">
        <v>3</v>
      </c>
      <c r="E6" s="368"/>
      <c r="F6" s="368"/>
      <c r="G6" s="368"/>
      <c r="H6" s="368"/>
      <c r="I6" s="369"/>
    </row>
    <row r="7" spans="1:9" ht="27.75" customHeight="1" thickBot="1" x14ac:dyDescent="0.35">
      <c r="A7" s="373"/>
      <c r="B7" s="374"/>
      <c r="C7" s="375"/>
      <c r="D7" s="179" t="s">
        <v>4</v>
      </c>
      <c r="E7" s="180" t="s">
        <v>5</v>
      </c>
      <c r="F7" s="181" t="s">
        <v>6</v>
      </c>
      <c r="G7" s="181" t="s">
        <v>7</v>
      </c>
      <c r="H7" s="182" t="s">
        <v>8</v>
      </c>
      <c r="I7" s="183" t="s">
        <v>72</v>
      </c>
    </row>
    <row r="8" spans="1:9" ht="17.25" thickBot="1" x14ac:dyDescent="0.35">
      <c r="A8" s="376"/>
      <c r="B8" s="377"/>
      <c r="C8" s="378"/>
      <c r="D8" s="184">
        <v>1</v>
      </c>
      <c r="E8" s="185">
        <v>2</v>
      </c>
      <c r="F8" s="186" t="s">
        <v>9</v>
      </c>
      <c r="G8" s="186">
        <v>4</v>
      </c>
      <c r="H8" s="186">
        <v>5</v>
      </c>
      <c r="I8" s="187" t="s">
        <v>345</v>
      </c>
    </row>
    <row r="9" spans="1:9" x14ac:dyDescent="0.3">
      <c r="A9" s="188" t="s">
        <v>344</v>
      </c>
      <c r="B9" s="189"/>
      <c r="C9" s="190"/>
      <c r="D9" s="191">
        <v>8634776995</v>
      </c>
      <c r="E9" s="191">
        <v>-210267292.94000006</v>
      </c>
      <c r="F9" s="191">
        <v>8424509702.0599995</v>
      </c>
      <c r="G9" s="191">
        <v>4126557842.2899995</v>
      </c>
      <c r="H9" s="191">
        <v>3949691875.1399999</v>
      </c>
      <c r="I9" s="192">
        <v>47.789975869434706</v>
      </c>
    </row>
    <row r="10" spans="1:9" x14ac:dyDescent="0.3">
      <c r="A10" s="193"/>
      <c r="B10" s="362" t="s">
        <v>343</v>
      </c>
      <c r="C10" s="363"/>
      <c r="D10" s="194">
        <v>3998294357.4000001</v>
      </c>
      <c r="E10" s="194">
        <v>-209065755.78999999</v>
      </c>
      <c r="F10" s="194">
        <v>3789228601.6100001</v>
      </c>
      <c r="G10" s="194">
        <v>2054370737.52</v>
      </c>
      <c r="H10" s="194">
        <v>2054370737.52</v>
      </c>
      <c r="I10" s="192">
        <v>51.38117791947441</v>
      </c>
    </row>
    <row r="11" spans="1:9" x14ac:dyDescent="0.3">
      <c r="A11" s="193"/>
      <c r="B11" s="362" t="s">
        <v>342</v>
      </c>
      <c r="C11" s="363"/>
      <c r="D11" s="194">
        <v>257566158.58000001</v>
      </c>
      <c r="E11" s="194">
        <v>43277261.729999997</v>
      </c>
      <c r="F11" s="194">
        <v>300843420.31</v>
      </c>
      <c r="G11" s="194">
        <v>132002804.47</v>
      </c>
      <c r="H11" s="194">
        <v>132015256.98</v>
      </c>
      <c r="I11" s="192">
        <v>51.250057537741299</v>
      </c>
    </row>
    <row r="12" spans="1:9" x14ac:dyDescent="0.3">
      <c r="A12" s="193"/>
      <c r="B12" s="362" t="s">
        <v>341</v>
      </c>
      <c r="C12" s="363"/>
      <c r="D12" s="194">
        <v>1144189155</v>
      </c>
      <c r="E12" s="194">
        <v>-152003442.52000001</v>
      </c>
      <c r="F12" s="194">
        <v>992185712.48000002</v>
      </c>
      <c r="G12" s="194">
        <v>252975934.97</v>
      </c>
      <c r="H12" s="194">
        <v>252975934.97</v>
      </c>
      <c r="I12" s="192">
        <v>22.109625306665311</v>
      </c>
    </row>
    <row r="13" spans="1:9" x14ac:dyDescent="0.3">
      <c r="A13" s="193"/>
      <c r="B13" s="362" t="s">
        <v>340</v>
      </c>
      <c r="C13" s="363"/>
      <c r="D13" s="194">
        <v>1741773271.46</v>
      </c>
      <c r="E13" s="194">
        <v>19543266.699999999</v>
      </c>
      <c r="F13" s="194">
        <v>1761316538.1600001</v>
      </c>
      <c r="G13" s="194">
        <v>960137391.52999997</v>
      </c>
      <c r="H13" s="194">
        <v>783378867.95000005</v>
      </c>
      <c r="I13" s="192">
        <v>55.124131668709531</v>
      </c>
    </row>
    <row r="14" spans="1:9" x14ac:dyDescent="0.3">
      <c r="A14" s="193"/>
      <c r="B14" s="362" t="s">
        <v>339</v>
      </c>
      <c r="C14" s="363"/>
      <c r="D14" s="194">
        <v>1026203000.48</v>
      </c>
      <c r="E14" s="194">
        <v>214679033.88</v>
      </c>
      <c r="F14" s="194">
        <v>1240882034.3600001</v>
      </c>
      <c r="G14" s="194">
        <v>702696682.52999997</v>
      </c>
      <c r="H14" s="194">
        <v>702576786.45000005</v>
      </c>
      <c r="I14" s="192">
        <v>68.475407127178343</v>
      </c>
    </row>
    <row r="15" spans="1:9" x14ac:dyDescent="0.3">
      <c r="A15" s="193"/>
      <c r="B15" s="362" t="s">
        <v>338</v>
      </c>
      <c r="C15" s="363"/>
      <c r="D15" s="194">
        <v>314813100</v>
      </c>
      <c r="E15" s="194">
        <v>-80757717.060000002</v>
      </c>
      <c r="F15" s="194">
        <v>234055382.94</v>
      </c>
      <c r="G15" s="194">
        <v>0</v>
      </c>
      <c r="H15" s="194">
        <v>0</v>
      </c>
      <c r="I15" s="192">
        <v>0</v>
      </c>
    </row>
    <row r="16" spans="1:9" x14ac:dyDescent="0.3">
      <c r="A16" s="193"/>
      <c r="B16" s="362" t="s">
        <v>337</v>
      </c>
      <c r="C16" s="363"/>
      <c r="D16" s="194">
        <v>151937952.08000001</v>
      </c>
      <c r="E16" s="194">
        <v>-45939939.880000003</v>
      </c>
      <c r="F16" s="194">
        <v>105998012.20000002</v>
      </c>
      <c r="G16" s="194">
        <v>24374291.27</v>
      </c>
      <c r="H16" s="194">
        <v>24374291.27</v>
      </c>
      <c r="I16" s="192">
        <v>16.042266554419651</v>
      </c>
    </row>
    <row r="17" spans="1:9" x14ac:dyDescent="0.3">
      <c r="A17" s="188" t="s">
        <v>336</v>
      </c>
      <c r="B17" s="189"/>
      <c r="C17" s="190"/>
      <c r="D17" s="191">
        <v>420426159.09999996</v>
      </c>
      <c r="E17" s="191">
        <v>98801234.399999991</v>
      </c>
      <c r="F17" s="191">
        <v>519227393.49999994</v>
      </c>
      <c r="G17" s="191">
        <v>197522760.88999999</v>
      </c>
      <c r="H17" s="191">
        <v>117684181.86</v>
      </c>
      <c r="I17" s="192">
        <v>46.981558262890687</v>
      </c>
    </row>
    <row r="18" spans="1:9" ht="23.45" customHeight="1" x14ac:dyDescent="0.3">
      <c r="A18" s="193"/>
      <c r="B18" s="362" t="s">
        <v>335</v>
      </c>
      <c r="C18" s="363"/>
      <c r="D18" s="194">
        <v>104333416.78</v>
      </c>
      <c r="E18" s="194">
        <v>56349131.880000003</v>
      </c>
      <c r="F18" s="194">
        <v>160682548.66</v>
      </c>
      <c r="G18" s="194">
        <v>58255000.909999996</v>
      </c>
      <c r="H18" s="194">
        <v>28050638.329999998</v>
      </c>
      <c r="I18" s="192">
        <v>55.835419473358108</v>
      </c>
    </row>
    <row r="19" spans="1:9" x14ac:dyDescent="0.3">
      <c r="A19" s="193"/>
      <c r="B19" s="362" t="s">
        <v>334</v>
      </c>
      <c r="C19" s="363"/>
      <c r="D19" s="194">
        <v>203917379.55000001</v>
      </c>
      <c r="E19" s="194">
        <v>-18080833.300000001</v>
      </c>
      <c r="F19" s="194">
        <v>185836546.25</v>
      </c>
      <c r="G19" s="194">
        <v>74004259.769999996</v>
      </c>
      <c r="H19" s="194">
        <v>31447395.739999998</v>
      </c>
      <c r="I19" s="192">
        <v>36.291295981397383</v>
      </c>
    </row>
    <row r="20" spans="1:9" ht="22.5" customHeight="1" x14ac:dyDescent="0.3">
      <c r="A20" s="193"/>
      <c r="B20" s="362" t="s">
        <v>333</v>
      </c>
      <c r="C20" s="363"/>
      <c r="D20" s="194">
        <v>30000</v>
      </c>
      <c r="E20" s="194">
        <v>-7000</v>
      </c>
      <c r="F20" s="194">
        <v>23000</v>
      </c>
      <c r="G20" s="194">
        <v>0</v>
      </c>
      <c r="H20" s="194">
        <v>0</v>
      </c>
      <c r="I20" s="192">
        <v>0</v>
      </c>
    </row>
    <row r="21" spans="1:9" x14ac:dyDescent="0.3">
      <c r="A21" s="193"/>
      <c r="B21" s="362" t="s">
        <v>332</v>
      </c>
      <c r="C21" s="363"/>
      <c r="D21" s="194">
        <v>9252410.7699999996</v>
      </c>
      <c r="E21" s="194">
        <v>-1056472.4099999999</v>
      </c>
      <c r="F21" s="194">
        <v>8195938.3599999994</v>
      </c>
      <c r="G21" s="194">
        <v>3538395.69</v>
      </c>
      <c r="H21" s="194">
        <v>2408805.56</v>
      </c>
      <c r="I21" s="192">
        <v>38.242959353608555</v>
      </c>
    </row>
    <row r="22" spans="1:9" x14ac:dyDescent="0.3">
      <c r="A22" s="193"/>
      <c r="B22" s="362" t="s">
        <v>331</v>
      </c>
      <c r="C22" s="363"/>
      <c r="D22" s="194">
        <v>5963460.5300000003</v>
      </c>
      <c r="E22" s="194">
        <v>10279864.93</v>
      </c>
      <c r="F22" s="194">
        <v>16243325.460000001</v>
      </c>
      <c r="G22" s="194">
        <v>1701257.19</v>
      </c>
      <c r="H22" s="194">
        <v>659254.81000000006</v>
      </c>
      <c r="I22" s="192">
        <v>28.528019619507734</v>
      </c>
    </row>
    <row r="23" spans="1:9" x14ac:dyDescent="0.3">
      <c r="A23" s="193"/>
      <c r="B23" s="362" t="s">
        <v>330</v>
      </c>
      <c r="C23" s="363"/>
      <c r="D23" s="194">
        <v>81178803.260000005</v>
      </c>
      <c r="E23" s="194">
        <v>7169870.6600000001</v>
      </c>
      <c r="F23" s="194">
        <v>88348673.920000002</v>
      </c>
      <c r="G23" s="194">
        <v>49189206.009999998</v>
      </c>
      <c r="H23" s="194">
        <v>46535762.049999997</v>
      </c>
      <c r="I23" s="192">
        <v>60.593657500045282</v>
      </c>
    </row>
    <row r="24" spans="1:9" ht="27" customHeight="1" x14ac:dyDescent="0.3">
      <c r="A24" s="193"/>
      <c r="B24" s="362" t="s">
        <v>329</v>
      </c>
      <c r="C24" s="363"/>
      <c r="D24" s="194">
        <v>4926132.1500000004</v>
      </c>
      <c r="E24" s="194">
        <v>21918964.149999999</v>
      </c>
      <c r="F24" s="194">
        <v>26845096.299999997</v>
      </c>
      <c r="G24" s="194">
        <v>6378584.9100000001</v>
      </c>
      <c r="H24" s="194">
        <v>6127802.8899999997</v>
      </c>
      <c r="I24" s="192">
        <v>129.48464872181717</v>
      </c>
    </row>
    <row r="25" spans="1:9" x14ac:dyDescent="0.3">
      <c r="A25" s="193"/>
      <c r="B25" s="362" t="s">
        <v>328</v>
      </c>
      <c r="C25" s="363"/>
      <c r="D25" s="194">
        <v>18198</v>
      </c>
      <c r="E25" s="194">
        <v>22095617.280000001</v>
      </c>
      <c r="F25" s="194">
        <v>22113815.280000001</v>
      </c>
      <c r="G25" s="194">
        <v>299493.96999999997</v>
      </c>
      <c r="H25" s="194">
        <v>187983.17</v>
      </c>
      <c r="I25" s="192">
        <v>1645.7521156171006</v>
      </c>
    </row>
    <row r="26" spans="1:9" x14ac:dyDescent="0.3">
      <c r="A26" s="193"/>
      <c r="B26" s="362" t="s">
        <v>327</v>
      </c>
      <c r="C26" s="363"/>
      <c r="D26" s="194">
        <v>10806358.060000001</v>
      </c>
      <c r="E26" s="194">
        <v>132091.21</v>
      </c>
      <c r="F26" s="194">
        <v>10938449.270000001</v>
      </c>
      <c r="G26" s="194">
        <v>4156562.44</v>
      </c>
      <c r="H26" s="194">
        <v>2266539.31</v>
      </c>
      <c r="I26" s="192">
        <v>38.464045119748697</v>
      </c>
    </row>
    <row r="27" spans="1:9" x14ac:dyDescent="0.3">
      <c r="A27" s="188" t="s">
        <v>326</v>
      </c>
      <c r="B27" s="189"/>
      <c r="C27" s="190"/>
      <c r="D27" s="191">
        <v>1337354416.1700001</v>
      </c>
      <c r="E27" s="191">
        <v>309607317.67000002</v>
      </c>
      <c r="F27" s="191">
        <v>1646961733.8400002</v>
      </c>
      <c r="G27" s="191">
        <v>686876973.90999997</v>
      </c>
      <c r="H27" s="191">
        <v>486122978.53999996</v>
      </c>
      <c r="I27" s="192">
        <v>51.360878283643132</v>
      </c>
    </row>
    <row r="28" spans="1:9" x14ac:dyDescent="0.3">
      <c r="A28" s="193"/>
      <c r="B28" s="362" t="s">
        <v>325</v>
      </c>
      <c r="C28" s="363"/>
      <c r="D28" s="194">
        <v>440771840.80000001</v>
      </c>
      <c r="E28" s="194">
        <v>33938346.43</v>
      </c>
      <c r="F28" s="194">
        <v>474710187.23000002</v>
      </c>
      <c r="G28" s="194">
        <v>69512484.159999996</v>
      </c>
      <c r="H28" s="194">
        <v>61433036.18</v>
      </c>
      <c r="I28" s="192">
        <v>15.770627278238777</v>
      </c>
    </row>
    <row r="29" spans="1:9" x14ac:dyDescent="0.3">
      <c r="A29" s="193"/>
      <c r="B29" s="362" t="s">
        <v>324</v>
      </c>
      <c r="C29" s="363"/>
      <c r="D29" s="194">
        <v>155146540.00999999</v>
      </c>
      <c r="E29" s="194">
        <v>113919919</v>
      </c>
      <c r="F29" s="194">
        <v>269066459.00999999</v>
      </c>
      <c r="G29" s="194">
        <v>130375098.31</v>
      </c>
      <c r="H29" s="194">
        <v>92677536.280000001</v>
      </c>
      <c r="I29" s="192">
        <v>84.033519730183258</v>
      </c>
    </row>
    <row r="30" spans="1:9" ht="14.45" customHeight="1" x14ac:dyDescent="0.3">
      <c r="A30" s="193"/>
      <c r="B30" s="195" t="s">
        <v>323</v>
      </c>
      <c r="C30" s="196"/>
      <c r="D30" s="194">
        <v>327612766.64999998</v>
      </c>
      <c r="E30" s="194">
        <v>-3454891.93</v>
      </c>
      <c r="F30" s="194">
        <v>324157874.71999997</v>
      </c>
      <c r="G30" s="194">
        <v>156537718.37</v>
      </c>
      <c r="H30" s="194">
        <v>55510756.539999999</v>
      </c>
      <c r="I30" s="192">
        <v>47.781324266045665</v>
      </c>
    </row>
    <row r="31" spans="1:9" x14ac:dyDescent="0.3">
      <c r="A31" s="193"/>
      <c r="B31" s="197" t="s">
        <v>322</v>
      </c>
      <c r="C31" s="196"/>
      <c r="D31" s="194">
        <v>63587832.770000003</v>
      </c>
      <c r="E31" s="194">
        <v>-10068687.92</v>
      </c>
      <c r="F31" s="194">
        <v>53519144.850000001</v>
      </c>
      <c r="G31" s="194">
        <v>31089316.149999999</v>
      </c>
      <c r="H31" s="194">
        <v>28489249.739999998</v>
      </c>
      <c r="I31" s="192">
        <v>48.891926011146545</v>
      </c>
    </row>
    <row r="32" spans="1:9" x14ac:dyDescent="0.3">
      <c r="A32" s="193"/>
      <c r="B32" s="197" t="s">
        <v>321</v>
      </c>
      <c r="C32" s="198"/>
      <c r="D32" s="194">
        <v>142665989.03</v>
      </c>
      <c r="E32" s="194">
        <v>105239080.59999999</v>
      </c>
      <c r="F32" s="194">
        <v>247905069.63</v>
      </c>
      <c r="G32" s="194">
        <v>145462265.46000001</v>
      </c>
      <c r="H32" s="194">
        <v>122138775.83</v>
      </c>
      <c r="I32" s="192">
        <v>101.96001615312251</v>
      </c>
    </row>
    <row r="33" spans="1:9" x14ac:dyDescent="0.3">
      <c r="A33" s="193"/>
      <c r="B33" s="197" t="s">
        <v>320</v>
      </c>
      <c r="C33" s="198"/>
      <c r="D33" s="194">
        <v>83765499.659999996</v>
      </c>
      <c r="E33" s="194">
        <v>21139157.120000001</v>
      </c>
      <c r="F33" s="194">
        <v>104904656.78</v>
      </c>
      <c r="G33" s="194">
        <v>58542292.100000001</v>
      </c>
      <c r="H33" s="194">
        <v>46971768.219999999</v>
      </c>
      <c r="I33" s="192">
        <v>69.888310029332189</v>
      </c>
    </row>
    <row r="34" spans="1:9" x14ac:dyDescent="0.3">
      <c r="A34" s="193"/>
      <c r="B34" s="197" t="s">
        <v>319</v>
      </c>
      <c r="C34" s="198"/>
      <c r="D34" s="194">
        <v>80547819.769999996</v>
      </c>
      <c r="E34" s="194">
        <v>1086346.57</v>
      </c>
      <c r="F34" s="194">
        <v>81634166.339999989</v>
      </c>
      <c r="G34" s="194">
        <v>29192370.550000001</v>
      </c>
      <c r="H34" s="194">
        <v>26269025.420000002</v>
      </c>
      <c r="I34" s="192">
        <v>36.242285183332406</v>
      </c>
    </row>
    <row r="35" spans="1:9" x14ac:dyDescent="0.3">
      <c r="A35" s="193"/>
      <c r="B35" s="197" t="s">
        <v>318</v>
      </c>
      <c r="C35" s="198"/>
      <c r="D35" s="194">
        <v>33896845.850000001</v>
      </c>
      <c r="E35" s="194">
        <v>15335108.1</v>
      </c>
      <c r="F35" s="194">
        <v>49231953.950000003</v>
      </c>
      <c r="G35" s="194">
        <v>34489399.140000001</v>
      </c>
      <c r="H35" s="194">
        <v>21151809.399999999</v>
      </c>
      <c r="I35" s="192">
        <v>101.74810745702464</v>
      </c>
    </row>
    <row r="36" spans="1:9" x14ac:dyDescent="0.3">
      <c r="A36" s="193"/>
      <c r="B36" s="197" t="s">
        <v>317</v>
      </c>
      <c r="C36" s="198"/>
      <c r="D36" s="194">
        <v>9359281.6300000008</v>
      </c>
      <c r="E36" s="194">
        <v>32472939.699999999</v>
      </c>
      <c r="F36" s="194">
        <v>41832221.329999998</v>
      </c>
      <c r="G36" s="194">
        <v>31676029.670000002</v>
      </c>
      <c r="H36" s="194">
        <v>31481020.93</v>
      </c>
      <c r="I36" s="192">
        <v>338.44509570549167</v>
      </c>
    </row>
    <row r="37" spans="1:9" x14ac:dyDescent="0.3">
      <c r="A37" s="188" t="s">
        <v>316</v>
      </c>
      <c r="B37" s="189"/>
      <c r="C37" s="190"/>
      <c r="D37" s="191">
        <v>30236719608.5</v>
      </c>
      <c r="E37" s="191">
        <v>2759474924.6199999</v>
      </c>
      <c r="F37" s="191">
        <v>32996194533.119999</v>
      </c>
      <c r="G37" s="191">
        <v>16835416774.27</v>
      </c>
      <c r="H37" s="191">
        <v>16273713304.059999</v>
      </c>
      <c r="I37" s="192">
        <v>55.67871446457211</v>
      </c>
    </row>
    <row r="38" spans="1:9" x14ac:dyDescent="0.3">
      <c r="A38" s="193"/>
      <c r="B38" s="197" t="s">
        <v>315</v>
      </c>
      <c r="C38" s="198"/>
      <c r="D38" s="194">
        <v>28876720058.279999</v>
      </c>
      <c r="E38" s="194">
        <v>2600677615.21</v>
      </c>
      <c r="F38" s="194">
        <v>31477397673.489998</v>
      </c>
      <c r="G38" s="194">
        <v>16139421670.49</v>
      </c>
      <c r="H38" s="194">
        <v>15709773414.59</v>
      </c>
      <c r="I38" s="192">
        <v>55.890771659374259</v>
      </c>
    </row>
    <row r="39" spans="1:9" x14ac:dyDescent="0.3">
      <c r="A39" s="193"/>
      <c r="B39" s="197" t="s">
        <v>314</v>
      </c>
      <c r="C39" s="199"/>
      <c r="D39" s="194">
        <v>33122996</v>
      </c>
      <c r="E39" s="194">
        <v>-2000000</v>
      </c>
      <c r="F39" s="194">
        <v>31122996</v>
      </c>
      <c r="G39" s="194">
        <v>16689264</v>
      </c>
      <c r="H39" s="194">
        <v>16689264</v>
      </c>
      <c r="I39" s="192">
        <v>50.385732015304406</v>
      </c>
    </row>
    <row r="40" spans="1:9" x14ac:dyDescent="0.3">
      <c r="A40" s="193"/>
      <c r="B40" s="197" t="s">
        <v>313</v>
      </c>
      <c r="C40" s="199"/>
      <c r="D40" s="194">
        <v>553541081</v>
      </c>
      <c r="E40" s="194">
        <v>89888446.159999996</v>
      </c>
      <c r="F40" s="194">
        <v>643429527.15999997</v>
      </c>
      <c r="G40" s="194">
        <v>207811161.99000001</v>
      </c>
      <c r="H40" s="194">
        <v>181610912.22</v>
      </c>
      <c r="I40" s="192">
        <v>37.542138988957895</v>
      </c>
    </row>
    <row r="41" spans="1:9" x14ac:dyDescent="0.3">
      <c r="A41" s="193"/>
      <c r="B41" s="197" t="s">
        <v>312</v>
      </c>
      <c r="C41" s="198"/>
      <c r="D41" s="194">
        <v>768605586.22000003</v>
      </c>
      <c r="E41" s="194">
        <v>70908863.25</v>
      </c>
      <c r="F41" s="194">
        <v>839514449.47000003</v>
      </c>
      <c r="G41" s="194">
        <v>471494677.79000002</v>
      </c>
      <c r="H41" s="194">
        <v>365639713.25</v>
      </c>
      <c r="I41" s="192">
        <v>61.344164841269169</v>
      </c>
    </row>
    <row r="42" spans="1:9" x14ac:dyDescent="0.3">
      <c r="A42" s="193"/>
      <c r="B42" s="197" t="s">
        <v>311</v>
      </c>
      <c r="C42" s="198"/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2">
        <v>0</v>
      </c>
    </row>
    <row r="43" spans="1:9" x14ac:dyDescent="0.3">
      <c r="A43" s="193"/>
      <c r="B43" s="197" t="s">
        <v>310</v>
      </c>
      <c r="C43" s="198"/>
      <c r="D43" s="194">
        <v>4729887</v>
      </c>
      <c r="E43" s="194">
        <v>0</v>
      </c>
      <c r="F43" s="194">
        <v>4729887</v>
      </c>
      <c r="G43" s="194">
        <v>0</v>
      </c>
      <c r="H43" s="194">
        <v>0</v>
      </c>
      <c r="I43" s="192">
        <v>0</v>
      </c>
    </row>
    <row r="44" spans="1:9" x14ac:dyDescent="0.3">
      <c r="A44" s="193"/>
      <c r="B44" s="197" t="s">
        <v>309</v>
      </c>
      <c r="C44" s="198"/>
      <c r="D44" s="194">
        <v>0</v>
      </c>
      <c r="E44" s="194">
        <v>0</v>
      </c>
      <c r="F44" s="194">
        <v>0</v>
      </c>
      <c r="G44" s="194">
        <v>0</v>
      </c>
      <c r="H44" s="194">
        <v>0</v>
      </c>
      <c r="I44" s="192">
        <v>0</v>
      </c>
    </row>
    <row r="45" spans="1:9" x14ac:dyDescent="0.3">
      <c r="A45" s="193"/>
      <c r="B45" s="197" t="s">
        <v>308</v>
      </c>
      <c r="C45" s="198"/>
      <c r="D45" s="194">
        <v>0</v>
      </c>
      <c r="E45" s="194">
        <v>0</v>
      </c>
      <c r="F45" s="194">
        <v>0</v>
      </c>
      <c r="G45" s="194">
        <v>0</v>
      </c>
      <c r="H45" s="194">
        <v>0</v>
      </c>
      <c r="I45" s="192">
        <v>0</v>
      </c>
    </row>
    <row r="46" spans="1:9" x14ac:dyDescent="0.3">
      <c r="A46" s="193"/>
      <c r="B46" s="197" t="s">
        <v>307</v>
      </c>
      <c r="C46" s="198"/>
      <c r="D46" s="194">
        <v>0</v>
      </c>
      <c r="E46" s="194">
        <v>0</v>
      </c>
      <c r="F46" s="194">
        <v>0</v>
      </c>
      <c r="G46" s="194">
        <v>0</v>
      </c>
      <c r="H46" s="194">
        <v>0</v>
      </c>
      <c r="I46" s="192">
        <v>0</v>
      </c>
    </row>
    <row r="47" spans="1:9" x14ac:dyDescent="0.3">
      <c r="A47" s="188" t="s">
        <v>306</v>
      </c>
      <c r="B47" s="189"/>
      <c r="C47" s="190"/>
      <c r="D47" s="191">
        <v>79938824.260000005</v>
      </c>
      <c r="E47" s="191">
        <v>147784546.11000001</v>
      </c>
      <c r="F47" s="191">
        <v>227723370.37</v>
      </c>
      <c r="G47" s="191">
        <v>60471695.100000001</v>
      </c>
      <c r="H47" s="191">
        <v>34633664.149999999</v>
      </c>
      <c r="I47" s="192">
        <v>75.6474662465845</v>
      </c>
    </row>
    <row r="48" spans="1:9" x14ac:dyDescent="0.3">
      <c r="A48" s="193"/>
      <c r="B48" s="197" t="s">
        <v>305</v>
      </c>
      <c r="C48" s="198"/>
      <c r="D48" s="194">
        <v>25587457.260000002</v>
      </c>
      <c r="E48" s="194">
        <v>66145765.020000003</v>
      </c>
      <c r="F48" s="194">
        <v>91733222.280000001</v>
      </c>
      <c r="G48" s="194">
        <v>23787410.73</v>
      </c>
      <c r="H48" s="194">
        <v>16834675.43</v>
      </c>
      <c r="I48" s="192">
        <v>92.96512149796942</v>
      </c>
    </row>
    <row r="49" spans="1:9" x14ac:dyDescent="0.3">
      <c r="A49" s="193"/>
      <c r="B49" s="197" t="s">
        <v>304</v>
      </c>
      <c r="C49" s="198"/>
      <c r="D49" s="194">
        <v>184687</v>
      </c>
      <c r="E49" s="194">
        <v>4929169.12</v>
      </c>
      <c r="F49" s="194">
        <v>5113856.12</v>
      </c>
      <c r="G49" s="194">
        <v>649816.36</v>
      </c>
      <c r="H49" s="194">
        <v>631821.53</v>
      </c>
      <c r="I49" s="192">
        <v>351.84737420608923</v>
      </c>
    </row>
    <row r="50" spans="1:9" x14ac:dyDescent="0.3">
      <c r="A50" s="193"/>
      <c r="B50" s="197" t="s">
        <v>303</v>
      </c>
      <c r="C50" s="198"/>
      <c r="D50" s="194">
        <v>5000</v>
      </c>
      <c r="E50" s="194">
        <v>2744555.22</v>
      </c>
      <c r="F50" s="194">
        <v>2749555.22</v>
      </c>
      <c r="G50" s="194">
        <v>107751.15</v>
      </c>
      <c r="H50" s="194">
        <v>107751.15</v>
      </c>
      <c r="I50" s="192">
        <v>2155.0230000000001</v>
      </c>
    </row>
    <row r="51" spans="1:9" x14ac:dyDescent="0.3">
      <c r="A51" s="193"/>
      <c r="B51" s="197" t="s">
        <v>302</v>
      </c>
      <c r="C51" s="198"/>
      <c r="D51" s="194">
        <v>500000</v>
      </c>
      <c r="E51" s="194">
        <v>24489840.140000001</v>
      </c>
      <c r="F51" s="194">
        <v>24989840.140000001</v>
      </c>
      <c r="G51" s="194">
        <v>0</v>
      </c>
      <c r="H51" s="194">
        <v>0</v>
      </c>
      <c r="I51" s="192">
        <v>0</v>
      </c>
    </row>
    <row r="52" spans="1:9" x14ac:dyDescent="0.3">
      <c r="A52" s="193"/>
      <c r="B52" s="197" t="s">
        <v>301</v>
      </c>
      <c r="C52" s="198"/>
      <c r="D52" s="194">
        <v>30212000</v>
      </c>
      <c r="E52" s="194">
        <v>-14506244.57</v>
      </c>
      <c r="F52" s="194">
        <v>15705755.43</v>
      </c>
      <c r="G52" s="194">
        <v>0</v>
      </c>
      <c r="H52" s="194">
        <v>0</v>
      </c>
      <c r="I52" s="192">
        <v>0</v>
      </c>
    </row>
    <row r="53" spans="1:9" x14ac:dyDescent="0.3">
      <c r="A53" s="193"/>
      <c r="B53" s="197" t="s">
        <v>300</v>
      </c>
      <c r="C53" s="198"/>
      <c r="D53" s="194">
        <v>23041680</v>
      </c>
      <c r="E53" s="194">
        <v>14641172.369999999</v>
      </c>
      <c r="F53" s="194">
        <v>37682852.369999997</v>
      </c>
      <c r="G53" s="194">
        <v>8705867.4700000007</v>
      </c>
      <c r="H53" s="194">
        <v>7343248.9199999999</v>
      </c>
      <c r="I53" s="192">
        <v>37.783128096562407</v>
      </c>
    </row>
    <row r="54" spans="1:9" x14ac:dyDescent="0.3">
      <c r="A54" s="193"/>
      <c r="B54" s="197" t="s">
        <v>299</v>
      </c>
      <c r="C54" s="198"/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2">
        <v>0</v>
      </c>
    </row>
    <row r="55" spans="1:9" x14ac:dyDescent="0.3">
      <c r="A55" s="193"/>
      <c r="B55" s="197" t="s">
        <v>298</v>
      </c>
      <c r="C55" s="198"/>
      <c r="D55" s="194">
        <v>0</v>
      </c>
      <c r="E55" s="194">
        <v>1647000</v>
      </c>
      <c r="F55" s="194">
        <v>1647000</v>
      </c>
      <c r="G55" s="194">
        <v>1647000</v>
      </c>
      <c r="H55" s="194">
        <v>1647000</v>
      </c>
      <c r="I55" s="192">
        <v>0</v>
      </c>
    </row>
    <row r="56" spans="1:9" x14ac:dyDescent="0.3">
      <c r="A56" s="193"/>
      <c r="B56" s="197" t="s">
        <v>297</v>
      </c>
      <c r="C56" s="198"/>
      <c r="D56" s="194">
        <v>408000</v>
      </c>
      <c r="E56" s="194">
        <v>47693288.810000002</v>
      </c>
      <c r="F56" s="194">
        <v>48101288.810000002</v>
      </c>
      <c r="G56" s="194">
        <v>25573849.390000001</v>
      </c>
      <c r="H56" s="194">
        <v>8069167.1200000001</v>
      </c>
      <c r="I56" s="192">
        <v>6268.1003406862746</v>
      </c>
    </row>
    <row r="57" spans="1:9" x14ac:dyDescent="0.3">
      <c r="A57" s="188" t="s">
        <v>296</v>
      </c>
      <c r="B57" s="197"/>
      <c r="C57" s="190"/>
      <c r="D57" s="191">
        <v>4063425913.5</v>
      </c>
      <c r="E57" s="191">
        <v>569178473.30000007</v>
      </c>
      <c r="F57" s="191">
        <v>4632604386.8000002</v>
      </c>
      <c r="G57" s="191">
        <v>877426296.05999994</v>
      </c>
      <c r="H57" s="191">
        <v>817398265.11000001</v>
      </c>
      <c r="I57" s="192">
        <v>21.593264273501561</v>
      </c>
    </row>
    <row r="58" spans="1:9" x14ac:dyDescent="0.3">
      <c r="A58" s="193"/>
      <c r="B58" s="197" t="s">
        <v>295</v>
      </c>
      <c r="C58" s="198"/>
      <c r="D58" s="194">
        <v>3276958295.5999999</v>
      </c>
      <c r="E58" s="194">
        <v>679789675.59000003</v>
      </c>
      <c r="F58" s="194">
        <v>3956747971.1900001</v>
      </c>
      <c r="G58" s="194">
        <v>606455238.64999998</v>
      </c>
      <c r="H58" s="194">
        <v>569317477.45000005</v>
      </c>
      <c r="I58" s="192">
        <v>18.506651105822513</v>
      </c>
    </row>
    <row r="59" spans="1:9" x14ac:dyDescent="0.3">
      <c r="A59" s="193"/>
      <c r="B59" s="197" t="s">
        <v>294</v>
      </c>
      <c r="C59" s="198"/>
      <c r="D59" s="194">
        <v>786467617.89999998</v>
      </c>
      <c r="E59" s="194">
        <v>-110611202.29000001</v>
      </c>
      <c r="F59" s="194">
        <v>675856415.61000001</v>
      </c>
      <c r="G59" s="194">
        <v>270971057.41000003</v>
      </c>
      <c r="H59" s="194">
        <v>248080787.66</v>
      </c>
      <c r="I59" s="192">
        <v>34.454191277898772</v>
      </c>
    </row>
    <row r="60" spans="1:9" x14ac:dyDescent="0.3">
      <c r="A60" s="193"/>
      <c r="B60" s="197" t="s">
        <v>293</v>
      </c>
      <c r="C60" s="198"/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2">
        <v>0</v>
      </c>
    </row>
    <row r="61" spans="1:9" x14ac:dyDescent="0.3">
      <c r="A61" s="188" t="s">
        <v>292</v>
      </c>
      <c r="B61" s="197"/>
      <c r="C61" s="190"/>
      <c r="D61" s="191">
        <v>383422081</v>
      </c>
      <c r="E61" s="191">
        <v>-115589554.34999999</v>
      </c>
      <c r="F61" s="191">
        <v>267832526.65000001</v>
      </c>
      <c r="G61" s="191">
        <v>0</v>
      </c>
      <c r="H61" s="191">
        <v>0</v>
      </c>
      <c r="I61" s="192">
        <v>0</v>
      </c>
    </row>
    <row r="62" spans="1:9" x14ac:dyDescent="0.3">
      <c r="A62" s="193"/>
      <c r="B62" s="197" t="s">
        <v>291</v>
      </c>
      <c r="C62" s="197"/>
      <c r="D62" s="194">
        <v>0</v>
      </c>
      <c r="E62" s="194">
        <v>0</v>
      </c>
      <c r="F62" s="194">
        <v>0</v>
      </c>
      <c r="G62" s="194">
        <v>0</v>
      </c>
      <c r="H62" s="194">
        <v>0</v>
      </c>
      <c r="I62" s="192">
        <v>0</v>
      </c>
    </row>
    <row r="63" spans="1:9" x14ac:dyDescent="0.3">
      <c r="A63" s="193"/>
      <c r="B63" s="197" t="s">
        <v>290</v>
      </c>
      <c r="C63" s="197"/>
      <c r="D63" s="194">
        <v>0</v>
      </c>
      <c r="E63" s="194">
        <v>0</v>
      </c>
      <c r="F63" s="194">
        <v>0</v>
      </c>
      <c r="G63" s="194">
        <v>0</v>
      </c>
      <c r="H63" s="194">
        <v>0</v>
      </c>
      <c r="I63" s="192">
        <v>0</v>
      </c>
    </row>
    <row r="64" spans="1:9" x14ac:dyDescent="0.3">
      <c r="A64" s="193"/>
      <c r="B64" s="197" t="s">
        <v>289</v>
      </c>
      <c r="C64" s="198"/>
      <c r="D64" s="194">
        <v>0</v>
      </c>
      <c r="E64" s="194">
        <v>0</v>
      </c>
      <c r="F64" s="194">
        <v>0</v>
      </c>
      <c r="G64" s="194">
        <v>0</v>
      </c>
      <c r="H64" s="194">
        <v>0</v>
      </c>
      <c r="I64" s="192">
        <v>0</v>
      </c>
    </row>
    <row r="65" spans="1:9" x14ac:dyDescent="0.3">
      <c r="A65" s="193"/>
      <c r="B65" s="197" t="s">
        <v>288</v>
      </c>
      <c r="C65" s="198"/>
      <c r="D65" s="194">
        <v>0</v>
      </c>
      <c r="E65" s="194">
        <v>0</v>
      </c>
      <c r="F65" s="194">
        <v>0</v>
      </c>
      <c r="G65" s="194">
        <v>0</v>
      </c>
      <c r="H65" s="194">
        <v>0</v>
      </c>
      <c r="I65" s="192">
        <v>0</v>
      </c>
    </row>
    <row r="66" spans="1:9" x14ac:dyDescent="0.3">
      <c r="A66" s="193"/>
      <c r="B66" s="197" t="s">
        <v>287</v>
      </c>
      <c r="C66" s="198"/>
      <c r="D66" s="194">
        <v>0</v>
      </c>
      <c r="E66" s="194">
        <v>0</v>
      </c>
      <c r="F66" s="194">
        <v>0</v>
      </c>
      <c r="G66" s="194">
        <v>0</v>
      </c>
      <c r="H66" s="194">
        <v>0</v>
      </c>
      <c r="I66" s="192">
        <v>0</v>
      </c>
    </row>
    <row r="67" spans="1:9" x14ac:dyDescent="0.3">
      <c r="A67" s="193"/>
      <c r="B67" s="197" t="s">
        <v>286</v>
      </c>
      <c r="C67" s="198"/>
      <c r="D67" s="194">
        <v>0</v>
      </c>
      <c r="E67" s="194">
        <v>0</v>
      </c>
      <c r="F67" s="194">
        <v>0</v>
      </c>
      <c r="G67" s="194">
        <v>0</v>
      </c>
      <c r="H67" s="194">
        <v>0</v>
      </c>
      <c r="I67" s="192">
        <v>0</v>
      </c>
    </row>
    <row r="68" spans="1:9" x14ac:dyDescent="0.3">
      <c r="A68" s="193"/>
      <c r="B68" s="197" t="s">
        <v>285</v>
      </c>
      <c r="C68" s="198"/>
      <c r="D68" s="194">
        <v>383422081</v>
      </c>
      <c r="E68" s="194">
        <v>-115589554.34999999</v>
      </c>
      <c r="F68" s="194">
        <v>267832526.65000001</v>
      </c>
      <c r="G68" s="194">
        <v>0</v>
      </c>
      <c r="H68" s="194">
        <v>0</v>
      </c>
      <c r="I68" s="192">
        <v>0</v>
      </c>
    </row>
    <row r="69" spans="1:9" x14ac:dyDescent="0.3">
      <c r="A69" s="188" t="s">
        <v>284</v>
      </c>
      <c r="B69" s="189"/>
      <c r="C69" s="190"/>
      <c r="D69" s="191">
        <v>7291921181</v>
      </c>
      <c r="E69" s="191">
        <v>11482210.109999999</v>
      </c>
      <c r="F69" s="191">
        <v>7303403391.1099997</v>
      </c>
      <c r="G69" s="191">
        <v>3864515821.3600001</v>
      </c>
      <c r="H69" s="191">
        <v>3777339632.6700001</v>
      </c>
      <c r="I69" s="192">
        <v>52.99722426278376</v>
      </c>
    </row>
    <row r="70" spans="1:9" x14ac:dyDescent="0.3">
      <c r="A70" s="193"/>
      <c r="B70" s="197" t="s">
        <v>10</v>
      </c>
      <c r="C70" s="198"/>
      <c r="D70" s="194">
        <v>4142750947</v>
      </c>
      <c r="E70" s="194">
        <v>-16333001.6</v>
      </c>
      <c r="F70" s="194">
        <v>4126417945.4000001</v>
      </c>
      <c r="G70" s="194">
        <v>2391823505.71</v>
      </c>
      <c r="H70" s="194">
        <v>2391823505.71</v>
      </c>
      <c r="I70" s="192">
        <v>57.735150780474854</v>
      </c>
    </row>
    <row r="71" spans="1:9" x14ac:dyDescent="0.3">
      <c r="A71" s="193"/>
      <c r="B71" s="197" t="s">
        <v>283</v>
      </c>
      <c r="C71" s="198"/>
      <c r="D71" s="194">
        <v>2193995973</v>
      </c>
      <c r="E71" s="194">
        <v>6348500.9000000004</v>
      </c>
      <c r="F71" s="194">
        <v>2200344473.9000001</v>
      </c>
      <c r="G71" s="194">
        <v>1147520139.96</v>
      </c>
      <c r="H71" s="194">
        <v>1145071639.0599999</v>
      </c>
      <c r="I71" s="192">
        <v>52.302745952214202</v>
      </c>
    </row>
    <row r="72" spans="1:9" x14ac:dyDescent="0.3">
      <c r="A72" s="193"/>
      <c r="B72" s="197" t="s">
        <v>282</v>
      </c>
      <c r="C72" s="198"/>
      <c r="D72" s="194">
        <v>955174261</v>
      </c>
      <c r="E72" s="194">
        <v>21466710.809999999</v>
      </c>
      <c r="F72" s="194">
        <v>976640971.80999994</v>
      </c>
      <c r="G72" s="194">
        <v>325172175.69</v>
      </c>
      <c r="H72" s="194">
        <v>240444487.90000001</v>
      </c>
      <c r="I72" s="192">
        <v>34.043230535710592</v>
      </c>
    </row>
    <row r="73" spans="1:9" x14ac:dyDescent="0.3">
      <c r="A73" s="188" t="s">
        <v>281</v>
      </c>
      <c r="B73" s="189"/>
      <c r="C73" s="190"/>
      <c r="D73" s="191">
        <v>4003894765.4699998</v>
      </c>
      <c r="E73" s="191">
        <v>2433089392.7700005</v>
      </c>
      <c r="F73" s="191">
        <v>6436984158.2399998</v>
      </c>
      <c r="G73" s="191">
        <v>5986126862.9300003</v>
      </c>
      <c r="H73" s="191">
        <v>5827645469.6700001</v>
      </c>
      <c r="I73" s="192">
        <v>149.5075973163674</v>
      </c>
    </row>
    <row r="74" spans="1:9" x14ac:dyDescent="0.3">
      <c r="A74" s="193"/>
      <c r="B74" s="197" t="s">
        <v>280</v>
      </c>
      <c r="C74" s="198"/>
      <c r="D74" s="194">
        <v>1422672048.4400001</v>
      </c>
      <c r="E74" s="194">
        <v>2011563115.9300001</v>
      </c>
      <c r="F74" s="194">
        <v>3434235164.3699999</v>
      </c>
      <c r="G74" s="194">
        <v>3143205472.29</v>
      </c>
      <c r="H74" s="194">
        <v>3143205472.29</v>
      </c>
      <c r="I74" s="192">
        <v>220.93675599633892</v>
      </c>
    </row>
    <row r="75" spans="1:9" x14ac:dyDescent="0.3">
      <c r="A75" s="193"/>
      <c r="B75" s="197" t="s">
        <v>279</v>
      </c>
      <c r="C75" s="198"/>
      <c r="D75" s="194">
        <v>1270746316.6400001</v>
      </c>
      <c r="E75" s="194">
        <v>-389241999.61000001</v>
      </c>
      <c r="F75" s="194">
        <v>881504317.03000009</v>
      </c>
      <c r="G75" s="194">
        <v>871795323.41999996</v>
      </c>
      <c r="H75" s="194">
        <v>871795323.41999996</v>
      </c>
      <c r="I75" s="192">
        <v>68.604985275513314</v>
      </c>
    </row>
    <row r="76" spans="1:9" x14ac:dyDescent="0.3">
      <c r="A76" s="193"/>
      <c r="B76" s="197" t="s">
        <v>278</v>
      </c>
      <c r="C76" s="198"/>
      <c r="D76" s="194">
        <v>54610887.850000001</v>
      </c>
      <c r="E76" s="194">
        <v>-54610887.850000001</v>
      </c>
      <c r="F76" s="194">
        <v>0</v>
      </c>
      <c r="G76" s="194">
        <v>0</v>
      </c>
      <c r="H76" s="194">
        <v>0</v>
      </c>
      <c r="I76" s="192">
        <v>0</v>
      </c>
    </row>
    <row r="77" spans="1:9" x14ac:dyDescent="0.3">
      <c r="A77" s="193"/>
      <c r="B77" s="197" t="s">
        <v>277</v>
      </c>
      <c r="C77" s="198"/>
      <c r="D77" s="194">
        <v>0</v>
      </c>
      <c r="E77" s="194">
        <v>17917291.25</v>
      </c>
      <c r="F77" s="194">
        <v>17917291.25</v>
      </c>
      <c r="G77" s="194">
        <v>14930464.130000001</v>
      </c>
      <c r="H77" s="194">
        <v>14254556.73</v>
      </c>
      <c r="I77" s="192">
        <v>0</v>
      </c>
    </row>
    <row r="78" spans="1:9" x14ac:dyDescent="0.3">
      <c r="A78" s="193"/>
      <c r="B78" s="197" t="s">
        <v>276</v>
      </c>
      <c r="C78" s="198"/>
      <c r="D78" s="194">
        <v>60000000</v>
      </c>
      <c r="E78" s="194">
        <v>-54079487.130000003</v>
      </c>
      <c r="F78" s="194">
        <v>5920512.8699999973</v>
      </c>
      <c r="G78" s="194">
        <v>5920512.8700000001</v>
      </c>
      <c r="H78" s="194">
        <v>5920512.8700000001</v>
      </c>
      <c r="I78" s="192">
        <v>9.8675214499999999</v>
      </c>
    </row>
    <row r="79" spans="1:9" x14ac:dyDescent="0.3">
      <c r="A79" s="193"/>
      <c r="B79" s="197" t="s">
        <v>275</v>
      </c>
      <c r="C79" s="198"/>
      <c r="D79" s="194">
        <v>195865512.53999999</v>
      </c>
      <c r="E79" s="194">
        <v>-20342701.539999999</v>
      </c>
      <c r="F79" s="194">
        <v>175522811</v>
      </c>
      <c r="G79" s="194">
        <v>109527731.40000001</v>
      </c>
      <c r="H79" s="194">
        <v>109527731.40000001</v>
      </c>
      <c r="I79" s="192">
        <v>55.919865615766362</v>
      </c>
    </row>
    <row r="80" spans="1:9" x14ac:dyDescent="0.3">
      <c r="A80" s="193"/>
      <c r="B80" s="197" t="s">
        <v>274</v>
      </c>
      <c r="C80" s="198"/>
      <c r="D80" s="194">
        <v>1000000000</v>
      </c>
      <c r="E80" s="194">
        <v>921884061.72000003</v>
      </c>
      <c r="F80" s="194">
        <v>1921884061.72</v>
      </c>
      <c r="G80" s="194">
        <v>1840747358.8199999</v>
      </c>
      <c r="H80" s="194">
        <v>1682941872.96</v>
      </c>
      <c r="I80" s="192">
        <v>184.07473588199997</v>
      </c>
    </row>
    <row r="81" spans="1:9" s="178" customFormat="1" ht="13.5" x14ac:dyDescent="0.25">
      <c r="A81" s="175"/>
      <c r="B81" s="176" t="s">
        <v>11</v>
      </c>
      <c r="C81" s="176"/>
      <c r="D81" s="177">
        <v>56451879944.000008</v>
      </c>
      <c r="E81" s="177">
        <v>6003561251.6900005</v>
      </c>
      <c r="F81" s="177">
        <v>62455441195.690002</v>
      </c>
      <c r="G81" s="177">
        <v>32634915026.810001</v>
      </c>
      <c r="H81" s="177">
        <v>31284229371.199997</v>
      </c>
      <c r="I81" s="177">
        <v>57.810147437399216</v>
      </c>
    </row>
  </sheetData>
  <mergeCells count="24">
    <mergeCell ref="B29:C29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8:C28"/>
    <mergeCell ref="B15:C15"/>
    <mergeCell ref="A2:I2"/>
    <mergeCell ref="A3:I3"/>
    <mergeCell ref="A4:I4"/>
    <mergeCell ref="A5:I5"/>
    <mergeCell ref="D6:I6"/>
    <mergeCell ref="A6:C8"/>
    <mergeCell ref="B10:C10"/>
    <mergeCell ref="B11:C11"/>
    <mergeCell ref="B12:C12"/>
    <mergeCell ref="B13:C13"/>
    <mergeCell ref="B14:C14"/>
    <mergeCell ref="B26:C2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4"/>
  <sheetViews>
    <sheetView topLeftCell="A2" workbookViewId="0">
      <selection activeCell="L18" sqref="L18"/>
    </sheetView>
  </sheetViews>
  <sheetFormatPr baseColWidth="10" defaultRowHeight="12.75" x14ac:dyDescent="0.2"/>
  <cols>
    <col min="1" max="1" width="6" style="171" customWidth="1"/>
    <col min="2" max="2" width="36.140625" style="171" customWidth="1"/>
    <col min="3" max="3" width="8.5703125" hidden="1" customWidth="1"/>
    <col min="4" max="4" width="11.28515625" customWidth="1"/>
    <col min="5" max="5" width="10.85546875" customWidth="1"/>
    <col min="6" max="7" width="11.7109375" bestFit="1" customWidth="1"/>
    <col min="8" max="8" width="11.42578125" bestFit="1" customWidth="1"/>
    <col min="9" max="9" width="7.140625" customWidth="1"/>
  </cols>
  <sheetData>
    <row r="1" spans="1:11" ht="13.5" hidden="1" thickBot="1" x14ac:dyDescent="0.25">
      <c r="A1" s="154" t="s">
        <v>68</v>
      </c>
      <c r="E1" s="93" t="s">
        <v>69</v>
      </c>
      <c r="F1" t="str">
        <f>IF(AND(LEN(E1)&gt;0,LEN(E1)&lt;=2),MID(E1,1,2),MID(E1,1,FIND(".",E1)-1))</f>
        <v>1</v>
      </c>
      <c r="G1" t="str">
        <f>IF(LEN(E1)&gt;2,MID(E1,FIND(".",E1)+2,2),0)</f>
        <v>6</v>
      </c>
      <c r="H1" t="str">
        <f>IF(F1="1","Enero",IF(F1="2","Febrero",IF(F1="3","Marzo",IF(F1="4","Abril",IF(F1="5","Mayo",IF(F1="6","Junio",IF(F1="7","Julio",IF(F1="8","Agosto",IF(F1="9","Septiembre",IF(F1="10","Octubre",IF(F1="11","Noviembre","Diciembre")))))))))))</f>
        <v>Enero</v>
      </c>
      <c r="I1" t="str">
        <f>IF(G1&lt;&gt;0,IF(G1="1","Enero",IF(G1="2","Febrero",IF(G1="3","Marzo",IF(G1="4","Abril",IF(G1="5","Mayo",IF(G1="6","Junio",IF(G1="7","Julio",IF(G1="8","Agosto",IF(G1="9","Septiembre",IF(G1="10","Octubre",IF(G1="11","Noviembre","Diciembre"))))))))))),0)</f>
        <v>Junio</v>
      </c>
      <c r="J1" t="str">
        <f>IF(OR(G1="13",G1="14",G1="15",G1="16"),12,G1)</f>
        <v>6</v>
      </c>
    </row>
    <row r="2" spans="1:11" ht="20.25" x14ac:dyDescent="0.2">
      <c r="A2" s="389" t="s">
        <v>0</v>
      </c>
      <c r="B2" s="390"/>
      <c r="C2" s="390"/>
      <c r="D2" s="390"/>
      <c r="E2" s="390"/>
      <c r="F2" s="390"/>
      <c r="G2" s="390"/>
      <c r="H2" s="390"/>
      <c r="I2" s="391"/>
    </row>
    <row r="3" spans="1:11" ht="15.75" x14ac:dyDescent="0.2">
      <c r="A3" s="392" t="s">
        <v>138</v>
      </c>
      <c r="B3" s="393"/>
      <c r="C3" s="393"/>
      <c r="D3" s="393"/>
      <c r="E3" s="393"/>
      <c r="F3" s="393"/>
      <c r="G3" s="393"/>
      <c r="H3" s="393"/>
      <c r="I3" s="394"/>
    </row>
    <row r="4" spans="1:11" ht="15.75" x14ac:dyDescent="0.2">
      <c r="A4" s="392" t="s">
        <v>347</v>
      </c>
      <c r="B4" s="393"/>
      <c r="C4" s="393"/>
      <c r="D4" s="393"/>
      <c r="E4" s="393"/>
      <c r="F4" s="393"/>
      <c r="G4" s="393"/>
      <c r="H4" s="393"/>
      <c r="I4" s="394"/>
    </row>
    <row r="5" spans="1:11" x14ac:dyDescent="0.2">
      <c r="A5" s="318" t="s">
        <v>71</v>
      </c>
      <c r="B5" s="319"/>
      <c r="C5" s="319"/>
      <c r="D5" s="319"/>
      <c r="E5" s="319"/>
      <c r="F5" s="319"/>
      <c r="G5" s="319"/>
      <c r="H5" s="319"/>
      <c r="I5" s="320"/>
      <c r="J5" s="347"/>
      <c r="K5" s="347"/>
    </row>
    <row r="6" spans="1:11" ht="13.5" thickBot="1" x14ac:dyDescent="0.25">
      <c r="A6" s="321" t="s">
        <v>140</v>
      </c>
      <c r="B6" s="322"/>
      <c r="C6" s="322"/>
      <c r="D6" s="322"/>
      <c r="E6" s="322"/>
      <c r="F6" s="322"/>
      <c r="G6" s="322"/>
      <c r="H6" s="322"/>
      <c r="I6" s="323"/>
      <c r="J6" s="347"/>
      <c r="K6" s="347"/>
    </row>
    <row r="7" spans="1:11" ht="13.5" thickBot="1" x14ac:dyDescent="0.25">
      <c r="A7" s="395" t="s">
        <v>141</v>
      </c>
      <c r="B7" s="396"/>
      <c r="C7" s="95"/>
      <c r="D7" s="399" t="s">
        <v>3</v>
      </c>
      <c r="E7" s="400"/>
      <c r="F7" s="400"/>
      <c r="G7" s="400"/>
      <c r="H7" s="401"/>
      <c r="I7" s="402" t="s">
        <v>72</v>
      </c>
      <c r="J7" s="347"/>
      <c r="K7" s="347"/>
    </row>
    <row r="8" spans="1:11" ht="30" customHeight="1" thickBot="1" x14ac:dyDescent="0.25">
      <c r="A8" s="397"/>
      <c r="B8" s="398"/>
      <c r="C8" s="200" t="s">
        <v>2</v>
      </c>
      <c r="D8" s="96" t="s">
        <v>143</v>
      </c>
      <c r="E8" s="96" t="s">
        <v>144</v>
      </c>
      <c r="F8" s="200" t="s">
        <v>145</v>
      </c>
      <c r="G8" s="200" t="s">
        <v>7</v>
      </c>
      <c r="H8" s="200" t="s">
        <v>348</v>
      </c>
      <c r="I8" s="403"/>
      <c r="J8" s="347"/>
      <c r="K8" s="347"/>
    </row>
    <row r="9" spans="1:11" x14ac:dyDescent="0.2">
      <c r="A9" s="387" t="s">
        <v>349</v>
      </c>
      <c r="B9" s="388"/>
      <c r="C9" s="97">
        <v>315300</v>
      </c>
      <c r="D9" s="201">
        <v>36365414869</v>
      </c>
      <c r="E9" s="201">
        <v>2933218324.6000004</v>
      </c>
      <c r="F9" s="201">
        <v>39298633193.600006</v>
      </c>
      <c r="G9" s="201">
        <v>20782178854.93</v>
      </c>
      <c r="H9" s="201">
        <v>19719354645.360001</v>
      </c>
      <c r="I9" s="100">
        <v>57.148196795758111</v>
      </c>
      <c r="J9" s="347"/>
      <c r="K9" s="347"/>
    </row>
    <row r="10" spans="1:11" x14ac:dyDescent="0.2">
      <c r="A10" s="379" t="s">
        <v>350</v>
      </c>
      <c r="B10" s="380"/>
      <c r="C10" s="202">
        <v>9800</v>
      </c>
      <c r="D10" s="203">
        <v>7382367404.1199999</v>
      </c>
      <c r="E10" s="203">
        <v>-61677182.330000013</v>
      </c>
      <c r="F10" s="203">
        <v>7320690221.789999</v>
      </c>
      <c r="G10" s="203">
        <v>3518287511.4800005</v>
      </c>
      <c r="H10" s="203">
        <v>3404650387.4700003</v>
      </c>
      <c r="I10" s="100">
        <v>47.657984476856186</v>
      </c>
    </row>
    <row r="11" spans="1:11" x14ac:dyDescent="0.2">
      <c r="A11" s="204"/>
      <c r="B11" s="205" t="s">
        <v>351</v>
      </c>
      <c r="C11" s="206">
        <v>1100</v>
      </c>
      <c r="D11" s="207">
        <v>3697930150.9899998</v>
      </c>
      <c r="E11" s="99">
        <v>-84137144.189999998</v>
      </c>
      <c r="F11" s="99">
        <v>3613793006.7999997</v>
      </c>
      <c r="G11" s="99">
        <v>1944901330.3</v>
      </c>
      <c r="H11" s="99">
        <v>1944901330.3</v>
      </c>
      <c r="I11" s="100">
        <v>52.594323064196239</v>
      </c>
    </row>
    <row r="12" spans="1:11" x14ac:dyDescent="0.2">
      <c r="A12" s="204"/>
      <c r="B12" s="205" t="s">
        <v>352</v>
      </c>
      <c r="C12" s="202">
        <v>1200</v>
      </c>
      <c r="D12" s="207">
        <v>257240514.72999999</v>
      </c>
      <c r="E12" s="99">
        <v>40001251.829999998</v>
      </c>
      <c r="F12" s="99">
        <v>297241766.56</v>
      </c>
      <c r="G12" s="99">
        <v>128462422.66</v>
      </c>
      <c r="H12" s="99">
        <v>128474875.17</v>
      </c>
      <c r="I12" s="100">
        <v>49.938643139022773</v>
      </c>
    </row>
    <row r="13" spans="1:11" x14ac:dyDescent="0.2">
      <c r="A13" s="204"/>
      <c r="B13" s="205" t="s">
        <v>353</v>
      </c>
      <c r="C13" s="202">
        <v>1300</v>
      </c>
      <c r="D13" s="207">
        <v>1077973043.0699999</v>
      </c>
      <c r="E13" s="99">
        <v>-118773477.94</v>
      </c>
      <c r="F13" s="99">
        <v>959199565.12999988</v>
      </c>
      <c r="G13" s="99">
        <v>247117039</v>
      </c>
      <c r="H13" s="99">
        <v>247117039</v>
      </c>
      <c r="I13" s="100">
        <v>22.924231787487571</v>
      </c>
    </row>
    <row r="14" spans="1:11" x14ac:dyDescent="0.2">
      <c r="A14" s="204"/>
      <c r="B14" s="205" t="s">
        <v>354</v>
      </c>
      <c r="C14" s="202">
        <v>1400</v>
      </c>
      <c r="D14" s="207">
        <v>965074391.62</v>
      </c>
      <c r="E14" s="99">
        <v>-10878829.02</v>
      </c>
      <c r="F14" s="99">
        <v>954195562.60000002</v>
      </c>
      <c r="G14" s="99">
        <v>509656572.54000002</v>
      </c>
      <c r="H14" s="99">
        <v>396126892.10000002</v>
      </c>
      <c r="I14" s="100">
        <v>52.810081478224355</v>
      </c>
    </row>
    <row r="15" spans="1:11" x14ac:dyDescent="0.2">
      <c r="A15" s="204"/>
      <c r="B15" s="205" t="s">
        <v>355</v>
      </c>
      <c r="C15" s="202">
        <v>1500</v>
      </c>
      <c r="D15" s="207">
        <v>919515209.04999995</v>
      </c>
      <c r="E15" s="99">
        <v>239119168.52000001</v>
      </c>
      <c r="F15" s="99">
        <v>1158634377.5699999</v>
      </c>
      <c r="G15" s="99">
        <v>665864384.47000003</v>
      </c>
      <c r="H15" s="99">
        <v>665744488.38999999</v>
      </c>
      <c r="I15" s="100">
        <v>72.414722227154883</v>
      </c>
    </row>
    <row r="16" spans="1:11" x14ac:dyDescent="0.2">
      <c r="A16" s="204"/>
      <c r="B16" s="205" t="s">
        <v>356</v>
      </c>
      <c r="C16" s="202">
        <v>1600</v>
      </c>
      <c r="D16" s="207">
        <v>314813100</v>
      </c>
      <c r="E16" s="99">
        <v>-80757717.060000002</v>
      </c>
      <c r="F16" s="99">
        <v>234055382.94</v>
      </c>
      <c r="G16" s="99">
        <v>0</v>
      </c>
      <c r="H16" s="99">
        <v>0</v>
      </c>
      <c r="I16" s="100">
        <v>0</v>
      </c>
    </row>
    <row r="17" spans="1:9" x14ac:dyDescent="0.2">
      <c r="A17" s="204"/>
      <c r="B17" s="205" t="s">
        <v>357</v>
      </c>
      <c r="C17" s="202">
        <v>1700</v>
      </c>
      <c r="D17" s="207">
        <v>149820994.66</v>
      </c>
      <c r="E17" s="99">
        <v>-46250434.469999999</v>
      </c>
      <c r="F17" s="99">
        <v>103570560.19</v>
      </c>
      <c r="G17" s="99">
        <v>22285762.510000002</v>
      </c>
      <c r="H17" s="99">
        <v>22285762.510000002</v>
      </c>
      <c r="I17" s="100">
        <v>14.874926281576725</v>
      </c>
    </row>
    <row r="18" spans="1:9" x14ac:dyDescent="0.2">
      <c r="A18" s="379" t="s">
        <v>358</v>
      </c>
      <c r="B18" s="380"/>
      <c r="C18" s="202">
        <v>22500</v>
      </c>
      <c r="D18" s="203">
        <v>419441187.09999996</v>
      </c>
      <c r="E18" s="203">
        <v>45017937.199999996</v>
      </c>
      <c r="F18" s="203">
        <v>464459124.30000007</v>
      </c>
      <c r="G18" s="203">
        <v>189676372.05999997</v>
      </c>
      <c r="H18" s="203">
        <v>109867460.89000002</v>
      </c>
      <c r="I18" s="100">
        <v>45.221208096280442</v>
      </c>
    </row>
    <row r="19" spans="1:9" ht="18" x14ac:dyDescent="0.2">
      <c r="A19" s="204"/>
      <c r="B19" s="205" t="s">
        <v>359</v>
      </c>
      <c r="C19" s="202">
        <v>2100</v>
      </c>
      <c r="D19" s="207">
        <v>103926416.78</v>
      </c>
      <c r="E19" s="99">
        <v>55604604.780000001</v>
      </c>
      <c r="F19" s="99">
        <v>159531021.56</v>
      </c>
      <c r="G19" s="99">
        <v>57471829.359999999</v>
      </c>
      <c r="H19" s="99">
        <v>27267466.780000001</v>
      </c>
      <c r="I19" s="100">
        <v>55.300501201403975</v>
      </c>
    </row>
    <row r="20" spans="1:9" x14ac:dyDescent="0.2">
      <c r="A20" s="204"/>
      <c r="B20" s="205" t="s">
        <v>360</v>
      </c>
      <c r="C20" s="202">
        <v>2200</v>
      </c>
      <c r="D20" s="207">
        <v>203917379.55000001</v>
      </c>
      <c r="E20" s="99">
        <v>-18104202.510000002</v>
      </c>
      <c r="F20" s="99">
        <v>185813177.04000002</v>
      </c>
      <c r="G20" s="99">
        <v>74004090.769999996</v>
      </c>
      <c r="H20" s="99">
        <v>31447226.739999998</v>
      </c>
      <c r="I20" s="100">
        <v>36.291213104694876</v>
      </c>
    </row>
    <row r="21" spans="1:9" ht="18" x14ac:dyDescent="0.2">
      <c r="A21" s="204"/>
      <c r="B21" s="205" t="s">
        <v>361</v>
      </c>
      <c r="C21" s="202">
        <v>2300</v>
      </c>
      <c r="D21" s="207">
        <v>30000</v>
      </c>
      <c r="E21" s="99">
        <v>-7000</v>
      </c>
      <c r="F21" s="99">
        <v>23000</v>
      </c>
      <c r="G21" s="99">
        <v>0</v>
      </c>
      <c r="H21" s="99">
        <v>0</v>
      </c>
      <c r="I21" s="100">
        <v>0</v>
      </c>
    </row>
    <row r="22" spans="1:9" ht="18" x14ac:dyDescent="0.2">
      <c r="A22" s="204"/>
      <c r="B22" s="205" t="s">
        <v>362</v>
      </c>
      <c r="C22" s="202">
        <v>2400</v>
      </c>
      <c r="D22" s="207">
        <v>9252410.7699999996</v>
      </c>
      <c r="E22" s="99">
        <v>-2274080.2400000002</v>
      </c>
      <c r="F22" s="99">
        <v>6978330.5299999993</v>
      </c>
      <c r="G22" s="99">
        <v>2847092.7</v>
      </c>
      <c r="H22" s="99">
        <v>1747170.43</v>
      </c>
      <c r="I22" s="100">
        <v>30.771360792058744</v>
      </c>
    </row>
    <row r="23" spans="1:9" x14ac:dyDescent="0.2">
      <c r="A23" s="204"/>
      <c r="B23" s="205" t="s">
        <v>363</v>
      </c>
      <c r="C23" s="202">
        <v>2500</v>
      </c>
      <c r="D23" s="207">
        <v>5963460.5300000003</v>
      </c>
      <c r="E23" s="99">
        <v>-509288.36</v>
      </c>
      <c r="F23" s="99">
        <v>5454172.1699999999</v>
      </c>
      <c r="G23" s="99">
        <v>1695253.7</v>
      </c>
      <c r="H23" s="99">
        <v>653251.31999999995</v>
      </c>
      <c r="I23" s="100">
        <v>28.427348373847622</v>
      </c>
    </row>
    <row r="24" spans="1:9" x14ac:dyDescent="0.2">
      <c r="A24" s="204"/>
      <c r="B24" s="205" t="s">
        <v>364</v>
      </c>
      <c r="C24" s="202">
        <v>2600</v>
      </c>
      <c r="D24" s="207">
        <v>80615831.260000005</v>
      </c>
      <c r="E24" s="99">
        <v>6721277.1699999999</v>
      </c>
      <c r="F24" s="99">
        <v>87337108.430000007</v>
      </c>
      <c r="G24" s="99">
        <v>48525542.810000002</v>
      </c>
      <c r="H24" s="99">
        <v>45872098.850000001</v>
      </c>
      <c r="I24" s="100">
        <v>60.193565025083885</v>
      </c>
    </row>
    <row r="25" spans="1:9" ht="18" x14ac:dyDescent="0.2">
      <c r="A25" s="204"/>
      <c r="B25" s="205" t="s">
        <v>365</v>
      </c>
      <c r="C25" s="202">
        <v>2700</v>
      </c>
      <c r="D25" s="207">
        <v>4926132.1500000004</v>
      </c>
      <c r="E25" s="99">
        <v>3047047.89</v>
      </c>
      <c r="F25" s="99">
        <v>7973180.040000001</v>
      </c>
      <c r="G25" s="99">
        <v>892918.81</v>
      </c>
      <c r="H25" s="99">
        <v>642136.79</v>
      </c>
      <c r="I25" s="100">
        <v>18.126164357974034</v>
      </c>
    </row>
    <row r="26" spans="1:9" x14ac:dyDescent="0.2">
      <c r="A26" s="204"/>
      <c r="B26" s="205" t="s">
        <v>366</v>
      </c>
      <c r="C26" s="202">
        <v>2800</v>
      </c>
      <c r="D26" s="207">
        <v>18198</v>
      </c>
      <c r="E26" s="99">
        <v>517505.43</v>
      </c>
      <c r="F26" s="99">
        <v>535703.42999999993</v>
      </c>
      <c r="G26" s="99">
        <v>171893.97</v>
      </c>
      <c r="H26" s="99">
        <v>60383.17</v>
      </c>
      <c r="I26" s="100">
        <v>944.57616221562807</v>
      </c>
    </row>
    <row r="27" spans="1:9" x14ac:dyDescent="0.2">
      <c r="A27" s="204"/>
      <c r="B27" s="205" t="s">
        <v>367</v>
      </c>
      <c r="C27" s="202">
        <v>2900</v>
      </c>
      <c r="D27" s="207">
        <v>10791358.060000001</v>
      </c>
      <c r="E27" s="99">
        <v>22073.040000000001</v>
      </c>
      <c r="F27" s="99">
        <v>10813431.1</v>
      </c>
      <c r="G27" s="99">
        <v>4067749.94</v>
      </c>
      <c r="H27" s="99">
        <v>2177726.81</v>
      </c>
      <c r="I27" s="100">
        <v>37.694513678290456</v>
      </c>
    </row>
    <row r="28" spans="1:9" x14ac:dyDescent="0.2">
      <c r="A28" s="379" t="s">
        <v>368</v>
      </c>
      <c r="B28" s="380"/>
      <c r="C28" s="202">
        <v>31500</v>
      </c>
      <c r="D28" s="203">
        <v>1020600236.17</v>
      </c>
      <c r="E28" s="203">
        <v>44600089.720000006</v>
      </c>
      <c r="F28" s="203">
        <v>1065200325.8899999</v>
      </c>
      <c r="G28" s="203">
        <v>544390321.86000013</v>
      </c>
      <c r="H28" s="203">
        <v>344747669.21999997</v>
      </c>
      <c r="I28" s="100">
        <v>53.3402112371569</v>
      </c>
    </row>
    <row r="29" spans="1:9" x14ac:dyDescent="0.2">
      <c r="A29" s="204"/>
      <c r="B29" s="205" t="s">
        <v>369</v>
      </c>
      <c r="C29" s="202">
        <v>3100</v>
      </c>
      <c r="D29" s="207">
        <v>140639840.80000001</v>
      </c>
      <c r="E29" s="99">
        <v>7730347.04</v>
      </c>
      <c r="F29" s="99">
        <v>148370187.84</v>
      </c>
      <c r="G29" s="99">
        <v>57667712.840000004</v>
      </c>
      <c r="H29" s="99">
        <v>49611221.390000001</v>
      </c>
      <c r="I29" s="100">
        <v>41.003824031632433</v>
      </c>
    </row>
    <row r="30" spans="1:9" x14ac:dyDescent="0.2">
      <c r="A30" s="204"/>
      <c r="B30" s="205" t="s">
        <v>370</v>
      </c>
      <c r="C30" s="202">
        <v>3200</v>
      </c>
      <c r="D30" s="207">
        <v>154710540.00999999</v>
      </c>
      <c r="E30" s="99">
        <v>9880785.3399999999</v>
      </c>
      <c r="F30" s="99">
        <v>164591325.34999999</v>
      </c>
      <c r="G30" s="99">
        <v>78248799.519999996</v>
      </c>
      <c r="H30" s="99">
        <v>40551237.490000002</v>
      </c>
      <c r="I30" s="100">
        <v>50.577549218651974</v>
      </c>
    </row>
    <row r="31" spans="1:9" ht="18" x14ac:dyDescent="0.2">
      <c r="A31" s="204"/>
      <c r="B31" s="205" t="s">
        <v>371</v>
      </c>
      <c r="C31" s="202">
        <v>3300</v>
      </c>
      <c r="D31" s="207">
        <v>313328626.64999998</v>
      </c>
      <c r="E31" s="99">
        <v>-38573428</v>
      </c>
      <c r="F31" s="99">
        <v>274755198.64999998</v>
      </c>
      <c r="G31" s="99">
        <v>147982271.34</v>
      </c>
      <c r="H31" s="99">
        <v>47949125.789999999</v>
      </c>
      <c r="I31" s="100">
        <v>47.229093914008011</v>
      </c>
    </row>
    <row r="32" spans="1:9" x14ac:dyDescent="0.2">
      <c r="A32" s="204"/>
      <c r="B32" s="205" t="s">
        <v>372</v>
      </c>
      <c r="C32" s="202">
        <v>3400</v>
      </c>
      <c r="D32" s="207">
        <v>63522832.770000003</v>
      </c>
      <c r="E32" s="99">
        <v>-10068687.92</v>
      </c>
      <c r="F32" s="99">
        <v>53454144.850000001</v>
      </c>
      <c r="G32" s="99">
        <v>31088528.16</v>
      </c>
      <c r="H32" s="99">
        <v>28488461.75</v>
      </c>
      <c r="I32" s="100">
        <v>48.94071439251401</v>
      </c>
    </row>
    <row r="33" spans="1:9" ht="18" x14ac:dyDescent="0.2">
      <c r="A33" s="204"/>
      <c r="B33" s="205" t="s">
        <v>373</v>
      </c>
      <c r="C33" s="202">
        <v>3500</v>
      </c>
      <c r="D33" s="207">
        <v>142400989.03</v>
      </c>
      <c r="E33" s="99">
        <v>6019927.9900000002</v>
      </c>
      <c r="F33" s="99">
        <v>148420917.02000001</v>
      </c>
      <c r="G33" s="99">
        <v>75989086.540000007</v>
      </c>
      <c r="H33" s="99">
        <v>52758766.829999998</v>
      </c>
      <c r="I33" s="100">
        <v>53.362751942678699</v>
      </c>
    </row>
    <row r="34" spans="1:9" x14ac:dyDescent="0.2">
      <c r="A34" s="204"/>
      <c r="B34" s="205" t="s">
        <v>374</v>
      </c>
      <c r="C34" s="202">
        <v>3600</v>
      </c>
      <c r="D34" s="207">
        <v>83765499.659999996</v>
      </c>
      <c r="E34" s="99">
        <v>21139157.120000001</v>
      </c>
      <c r="F34" s="99">
        <v>104904656.78</v>
      </c>
      <c r="G34" s="99">
        <v>58542292.100000001</v>
      </c>
      <c r="H34" s="99">
        <v>46971768.219999999</v>
      </c>
      <c r="I34" s="100">
        <v>69.888310029332189</v>
      </c>
    </row>
    <row r="35" spans="1:9" x14ac:dyDescent="0.2">
      <c r="A35" s="204"/>
      <c r="B35" s="205" t="s">
        <v>375</v>
      </c>
      <c r="C35" s="202">
        <v>3700</v>
      </c>
      <c r="D35" s="207">
        <v>79133779.769999996</v>
      </c>
      <c r="E35" s="99">
        <v>663834.75</v>
      </c>
      <c r="F35" s="99">
        <v>79797614.519999996</v>
      </c>
      <c r="G35" s="99">
        <v>28706202.550000001</v>
      </c>
      <c r="H35" s="99">
        <v>25784257.420000002</v>
      </c>
      <c r="I35" s="100">
        <v>36.27553572372473</v>
      </c>
    </row>
    <row r="36" spans="1:9" x14ac:dyDescent="0.2">
      <c r="A36" s="204"/>
      <c r="B36" s="205" t="s">
        <v>376</v>
      </c>
      <c r="C36" s="202">
        <v>3800</v>
      </c>
      <c r="D36" s="207">
        <v>33812845.850000001</v>
      </c>
      <c r="E36" s="99">
        <v>15335108.1</v>
      </c>
      <c r="F36" s="99">
        <v>49147953.950000003</v>
      </c>
      <c r="G36" s="99">
        <v>34489399.140000001</v>
      </c>
      <c r="H36" s="99">
        <v>21151809.399999999</v>
      </c>
      <c r="I36" s="100">
        <v>102.00087651007345</v>
      </c>
    </row>
    <row r="37" spans="1:9" x14ac:dyDescent="0.2">
      <c r="A37" s="204"/>
      <c r="B37" s="205" t="s">
        <v>377</v>
      </c>
      <c r="C37" s="202">
        <v>3900</v>
      </c>
      <c r="D37" s="207">
        <v>9285281.6300000008</v>
      </c>
      <c r="E37" s="99">
        <v>32473045.300000001</v>
      </c>
      <c r="F37" s="99">
        <v>41758326.93</v>
      </c>
      <c r="G37" s="99">
        <v>31676029.670000002</v>
      </c>
      <c r="H37" s="99">
        <v>31481020.93</v>
      </c>
      <c r="I37" s="100">
        <v>341.14236845177948</v>
      </c>
    </row>
    <row r="38" spans="1:9" ht="16.899999999999999" customHeight="1" x14ac:dyDescent="0.2">
      <c r="A38" s="383" t="s">
        <v>378</v>
      </c>
      <c r="B38" s="384"/>
      <c r="C38" s="202">
        <v>40500</v>
      </c>
      <c r="D38" s="203">
        <v>17438736447.380001</v>
      </c>
      <c r="E38" s="203">
        <v>112209416.88</v>
      </c>
      <c r="F38" s="203">
        <v>17550945864.259998</v>
      </c>
      <c r="G38" s="203">
        <v>8089668329.2800007</v>
      </c>
      <c r="H38" s="203">
        <v>7638950308.3000002</v>
      </c>
      <c r="I38" s="100">
        <v>46.389073851135549</v>
      </c>
    </row>
    <row r="39" spans="1:9" ht="18" x14ac:dyDescent="0.2">
      <c r="A39" s="204"/>
      <c r="B39" s="205" t="s">
        <v>379</v>
      </c>
      <c r="C39" s="202">
        <v>4100</v>
      </c>
      <c r="D39" s="207">
        <v>16481418448.16</v>
      </c>
      <c r="E39" s="99">
        <v>-42811267</v>
      </c>
      <c r="F39" s="99">
        <v>16438607181.16</v>
      </c>
      <c r="G39" s="99">
        <v>7647009889.5900002</v>
      </c>
      <c r="H39" s="99">
        <v>7313346911.9200001</v>
      </c>
      <c r="I39" s="100">
        <v>46.397765542101865</v>
      </c>
    </row>
    <row r="40" spans="1:9" x14ac:dyDescent="0.2">
      <c r="A40" s="204"/>
      <c r="B40" s="205" t="s">
        <v>380</v>
      </c>
      <c r="C40" s="202">
        <v>4200</v>
      </c>
      <c r="D40" s="207">
        <v>33122996</v>
      </c>
      <c r="E40" s="99">
        <v>-2000000</v>
      </c>
      <c r="F40" s="99">
        <v>31122996</v>
      </c>
      <c r="G40" s="99">
        <v>16689264</v>
      </c>
      <c r="H40" s="99">
        <v>16689264</v>
      </c>
      <c r="I40" s="100">
        <v>50.385732015304406</v>
      </c>
    </row>
    <row r="41" spans="1:9" x14ac:dyDescent="0.2">
      <c r="A41" s="204"/>
      <c r="B41" s="205" t="s">
        <v>381</v>
      </c>
      <c r="C41" s="202">
        <v>4300</v>
      </c>
      <c r="D41" s="207">
        <v>340541081</v>
      </c>
      <c r="E41" s="99">
        <v>86874171.569999993</v>
      </c>
      <c r="F41" s="99">
        <v>427415252.56999999</v>
      </c>
      <c r="G41" s="99">
        <v>45237874.840000004</v>
      </c>
      <c r="H41" s="99">
        <v>19037625.07</v>
      </c>
      <c r="I41" s="100">
        <v>13.284116767104525</v>
      </c>
    </row>
    <row r="42" spans="1:9" x14ac:dyDescent="0.2">
      <c r="A42" s="204"/>
      <c r="B42" s="205" t="s">
        <v>382</v>
      </c>
      <c r="C42" s="202">
        <v>4400</v>
      </c>
      <c r="D42" s="207">
        <v>578924035.22000003</v>
      </c>
      <c r="E42" s="99">
        <v>70146512.310000002</v>
      </c>
      <c r="F42" s="99">
        <v>649070547.52999997</v>
      </c>
      <c r="G42" s="99">
        <v>380731300.85000002</v>
      </c>
      <c r="H42" s="99">
        <v>289876507.31</v>
      </c>
      <c r="I42" s="100">
        <v>65.765329764779295</v>
      </c>
    </row>
    <row r="43" spans="1:9" x14ac:dyDescent="0.2">
      <c r="A43" s="204"/>
      <c r="B43" s="205" t="s">
        <v>383</v>
      </c>
      <c r="C43" s="202">
        <v>4500</v>
      </c>
      <c r="D43" s="207">
        <v>0</v>
      </c>
      <c r="E43" s="99">
        <v>0</v>
      </c>
      <c r="F43" s="99">
        <v>0</v>
      </c>
      <c r="G43" s="99">
        <v>0</v>
      </c>
      <c r="H43" s="99">
        <v>0</v>
      </c>
      <c r="I43" s="100">
        <v>0</v>
      </c>
    </row>
    <row r="44" spans="1:9" ht="18" x14ac:dyDescent="0.2">
      <c r="A44" s="204"/>
      <c r="B44" s="205" t="s">
        <v>384</v>
      </c>
      <c r="C44" s="202">
        <v>4600</v>
      </c>
      <c r="D44" s="207">
        <v>4729887</v>
      </c>
      <c r="E44" s="99">
        <v>0</v>
      </c>
      <c r="F44" s="99">
        <v>4729887</v>
      </c>
      <c r="G44" s="99">
        <v>0</v>
      </c>
      <c r="H44" s="99">
        <v>0</v>
      </c>
      <c r="I44" s="100">
        <v>0</v>
      </c>
    </row>
    <row r="45" spans="1:9" x14ac:dyDescent="0.2">
      <c r="A45" s="204"/>
      <c r="B45" s="205" t="s">
        <v>385</v>
      </c>
      <c r="C45" s="202">
        <v>4700</v>
      </c>
      <c r="D45" s="207">
        <v>0</v>
      </c>
      <c r="E45" s="99">
        <v>0</v>
      </c>
      <c r="F45" s="99">
        <v>0</v>
      </c>
      <c r="G45" s="99">
        <v>0</v>
      </c>
      <c r="H45" s="99">
        <v>0</v>
      </c>
      <c r="I45" s="100">
        <v>0</v>
      </c>
    </row>
    <row r="46" spans="1:9" x14ac:dyDescent="0.2">
      <c r="A46" s="204"/>
      <c r="B46" s="205" t="s">
        <v>386</v>
      </c>
      <c r="C46" s="202">
        <v>4800</v>
      </c>
      <c r="D46" s="207">
        <v>0</v>
      </c>
      <c r="E46" s="99">
        <v>0</v>
      </c>
      <c r="F46" s="99">
        <v>0</v>
      </c>
      <c r="G46" s="99">
        <v>0</v>
      </c>
      <c r="H46" s="99">
        <v>0</v>
      </c>
      <c r="I46" s="100">
        <v>0</v>
      </c>
    </row>
    <row r="47" spans="1:9" x14ac:dyDescent="0.2">
      <c r="A47" s="204"/>
      <c r="B47" s="205" t="s">
        <v>387</v>
      </c>
      <c r="C47" s="202">
        <v>4900</v>
      </c>
      <c r="D47" s="207">
        <v>0</v>
      </c>
      <c r="E47" s="99">
        <v>0</v>
      </c>
      <c r="F47" s="99">
        <v>0</v>
      </c>
      <c r="G47" s="99">
        <v>0</v>
      </c>
      <c r="H47" s="99">
        <v>0</v>
      </c>
      <c r="I47" s="100">
        <v>0</v>
      </c>
    </row>
    <row r="48" spans="1:9" ht="21.6" customHeight="1" x14ac:dyDescent="0.2">
      <c r="A48" s="383" t="s">
        <v>388</v>
      </c>
      <c r="B48" s="384"/>
      <c r="C48" s="202">
        <v>49500</v>
      </c>
      <c r="D48" s="203">
        <v>27780024.259999998</v>
      </c>
      <c r="E48" s="203">
        <v>71091435.550000012</v>
      </c>
      <c r="F48" s="203">
        <v>98871459.810000002</v>
      </c>
      <c r="G48" s="203">
        <v>47952219.100000001</v>
      </c>
      <c r="H48" s="203">
        <v>24692353.220000003</v>
      </c>
      <c r="I48" s="100">
        <v>172.61402888350108</v>
      </c>
    </row>
    <row r="49" spans="1:9" x14ac:dyDescent="0.2">
      <c r="A49" s="204"/>
      <c r="B49" s="205" t="s">
        <v>389</v>
      </c>
      <c r="C49" s="202">
        <v>5100</v>
      </c>
      <c r="D49" s="207">
        <v>7955457.2599999998</v>
      </c>
      <c r="E49" s="99">
        <v>34032029.020000003</v>
      </c>
      <c r="F49" s="99">
        <v>41987486.280000001</v>
      </c>
      <c r="G49" s="99">
        <v>20604951.550000001</v>
      </c>
      <c r="H49" s="99">
        <v>15239710.140000001</v>
      </c>
      <c r="I49" s="100">
        <v>259.00398778586361</v>
      </c>
    </row>
    <row r="50" spans="1:9" x14ac:dyDescent="0.2">
      <c r="A50" s="204"/>
      <c r="B50" s="205" t="s">
        <v>390</v>
      </c>
      <c r="C50" s="202">
        <v>5200</v>
      </c>
      <c r="D50" s="207">
        <v>184687</v>
      </c>
      <c r="E50" s="99">
        <v>3463557.67</v>
      </c>
      <c r="F50" s="99">
        <v>3648244.67</v>
      </c>
      <c r="G50" s="99">
        <v>139997.51999999999</v>
      </c>
      <c r="H50" s="99">
        <v>122002.69</v>
      </c>
      <c r="I50" s="100">
        <v>75.802584913935462</v>
      </c>
    </row>
    <row r="51" spans="1:9" x14ac:dyDescent="0.2">
      <c r="A51" s="204"/>
      <c r="B51" s="205" t="s">
        <v>391</v>
      </c>
      <c r="C51" s="202">
        <v>5300</v>
      </c>
      <c r="D51" s="207">
        <v>5000</v>
      </c>
      <c r="E51" s="99">
        <v>15800</v>
      </c>
      <c r="F51" s="99">
        <v>20800</v>
      </c>
      <c r="G51" s="99">
        <v>0</v>
      </c>
      <c r="H51" s="99">
        <v>0</v>
      </c>
      <c r="I51" s="100">
        <v>0</v>
      </c>
    </row>
    <row r="52" spans="1:9" x14ac:dyDescent="0.2">
      <c r="A52" s="204"/>
      <c r="B52" s="205" t="s">
        <v>392</v>
      </c>
      <c r="C52" s="202">
        <v>5400</v>
      </c>
      <c r="D52" s="207">
        <v>500000</v>
      </c>
      <c r="E52" s="99">
        <v>1277400</v>
      </c>
      <c r="F52" s="99">
        <v>1777400</v>
      </c>
      <c r="G52" s="99">
        <v>0</v>
      </c>
      <c r="H52" s="99">
        <v>0</v>
      </c>
      <c r="I52" s="100">
        <v>0</v>
      </c>
    </row>
    <row r="53" spans="1:9" x14ac:dyDescent="0.2">
      <c r="A53" s="204"/>
      <c r="B53" s="205" t="s">
        <v>393</v>
      </c>
      <c r="C53" s="202">
        <v>5500</v>
      </c>
      <c r="D53" s="207">
        <v>12947200</v>
      </c>
      <c r="E53" s="99">
        <v>-12947200</v>
      </c>
      <c r="F53" s="99">
        <v>0</v>
      </c>
      <c r="G53" s="99">
        <v>0</v>
      </c>
      <c r="H53" s="99">
        <v>0</v>
      </c>
      <c r="I53" s="100">
        <v>0</v>
      </c>
    </row>
    <row r="54" spans="1:9" x14ac:dyDescent="0.2">
      <c r="A54" s="204"/>
      <c r="B54" s="205" t="s">
        <v>394</v>
      </c>
      <c r="C54" s="202">
        <v>5600</v>
      </c>
      <c r="D54" s="207">
        <v>5779680</v>
      </c>
      <c r="E54" s="99">
        <v>10103581.189999999</v>
      </c>
      <c r="F54" s="99">
        <v>15883261.189999999</v>
      </c>
      <c r="G54" s="99">
        <v>2287351.8199999998</v>
      </c>
      <c r="H54" s="99">
        <v>1669733.27</v>
      </c>
      <c r="I54" s="100">
        <v>39.57575194474434</v>
      </c>
    </row>
    <row r="55" spans="1:9" x14ac:dyDescent="0.2">
      <c r="A55" s="204"/>
      <c r="B55" s="205" t="s">
        <v>395</v>
      </c>
      <c r="C55" s="202">
        <v>5700</v>
      </c>
      <c r="D55" s="207">
        <v>0</v>
      </c>
      <c r="E55" s="99">
        <v>0</v>
      </c>
      <c r="F55" s="99">
        <v>0</v>
      </c>
      <c r="G55" s="99">
        <v>0</v>
      </c>
      <c r="H55" s="99">
        <v>0</v>
      </c>
      <c r="I55" s="100">
        <v>0</v>
      </c>
    </row>
    <row r="56" spans="1:9" x14ac:dyDescent="0.2">
      <c r="A56" s="204"/>
      <c r="B56" s="205" t="s">
        <v>396</v>
      </c>
      <c r="C56" s="202">
        <v>5800</v>
      </c>
      <c r="D56" s="207">
        <v>0</v>
      </c>
      <c r="E56" s="99">
        <v>1647000</v>
      </c>
      <c r="F56" s="99">
        <v>1647000</v>
      </c>
      <c r="G56" s="99">
        <v>1647000</v>
      </c>
      <c r="H56" s="99">
        <v>1647000</v>
      </c>
      <c r="I56" s="100">
        <v>0</v>
      </c>
    </row>
    <row r="57" spans="1:9" x14ac:dyDescent="0.2">
      <c r="A57" s="204"/>
      <c r="B57" s="205" t="s">
        <v>397</v>
      </c>
      <c r="C57" s="202">
        <v>5900</v>
      </c>
      <c r="D57" s="207">
        <v>408000</v>
      </c>
      <c r="E57" s="99">
        <v>33499267.670000002</v>
      </c>
      <c r="F57" s="99">
        <v>33907267.670000002</v>
      </c>
      <c r="G57" s="99">
        <v>23272918.210000001</v>
      </c>
      <c r="H57" s="99">
        <v>6013907.1200000001</v>
      </c>
      <c r="I57" s="100">
        <v>5704.1466200980394</v>
      </c>
    </row>
    <row r="58" spans="1:9" x14ac:dyDescent="0.2">
      <c r="A58" s="379" t="s">
        <v>398</v>
      </c>
      <c r="B58" s="380"/>
      <c r="C58" s="202">
        <v>18600</v>
      </c>
      <c r="D58" s="203">
        <v>1870289944.5</v>
      </c>
      <c r="E58" s="203">
        <v>400249599.56</v>
      </c>
      <c r="F58" s="203">
        <v>2270539544.0599999</v>
      </c>
      <c r="G58" s="203">
        <v>375444483.81999999</v>
      </c>
      <c r="H58" s="203">
        <v>341283765.53999996</v>
      </c>
      <c r="I58" s="100">
        <v>20.074132619066752</v>
      </c>
    </row>
    <row r="59" spans="1:9" x14ac:dyDescent="0.2">
      <c r="A59" s="204"/>
      <c r="B59" s="205" t="s">
        <v>399</v>
      </c>
      <c r="C59" s="202">
        <v>6100</v>
      </c>
      <c r="D59" s="207">
        <v>1547001384.5999999</v>
      </c>
      <c r="E59" s="99">
        <v>217825041.22999999</v>
      </c>
      <c r="F59" s="99">
        <v>1764826425.8299999</v>
      </c>
      <c r="G59" s="99">
        <v>149589122.90000001</v>
      </c>
      <c r="H59" s="99">
        <v>138318674.37</v>
      </c>
      <c r="I59" s="100">
        <v>9.6696179065591767</v>
      </c>
    </row>
    <row r="60" spans="1:9" x14ac:dyDescent="0.2">
      <c r="A60" s="204"/>
      <c r="B60" s="205" t="s">
        <v>400</v>
      </c>
      <c r="C60" s="202">
        <v>6200</v>
      </c>
      <c r="D60" s="207">
        <v>323288559.89999998</v>
      </c>
      <c r="E60" s="99">
        <v>182424558.33000001</v>
      </c>
      <c r="F60" s="99">
        <v>505713118.23000002</v>
      </c>
      <c r="G60" s="99">
        <v>225855360.91999999</v>
      </c>
      <c r="H60" s="99">
        <v>202965091.16999999</v>
      </c>
      <c r="I60" s="100">
        <v>69.861847567344128</v>
      </c>
    </row>
    <row r="61" spans="1:9" x14ac:dyDescent="0.2">
      <c r="A61" s="204"/>
      <c r="B61" s="205" t="s">
        <v>401</v>
      </c>
      <c r="C61" s="202">
        <v>6300</v>
      </c>
      <c r="D61" s="207">
        <v>0</v>
      </c>
      <c r="E61" s="99">
        <v>0</v>
      </c>
      <c r="F61" s="99">
        <v>0</v>
      </c>
      <c r="G61" s="99">
        <v>0</v>
      </c>
      <c r="H61" s="99">
        <v>0</v>
      </c>
      <c r="I61" s="100">
        <v>0</v>
      </c>
    </row>
    <row r="62" spans="1:9" ht="19.899999999999999" customHeight="1" x14ac:dyDescent="0.2">
      <c r="A62" s="383" t="s">
        <v>402</v>
      </c>
      <c r="B62" s="384"/>
      <c r="C62" s="202">
        <v>52000</v>
      </c>
      <c r="D62" s="203">
        <v>135484416</v>
      </c>
      <c r="E62" s="203">
        <v>113822323.65000001</v>
      </c>
      <c r="F62" s="203">
        <v>249306739.65000001</v>
      </c>
      <c r="G62" s="203">
        <v>0</v>
      </c>
      <c r="H62" s="203">
        <v>0</v>
      </c>
      <c r="I62" s="100">
        <v>0</v>
      </c>
    </row>
    <row r="63" spans="1:9" ht="18" x14ac:dyDescent="0.2">
      <c r="A63" s="204"/>
      <c r="B63" s="205" t="s">
        <v>403</v>
      </c>
      <c r="C63" s="202">
        <v>7100</v>
      </c>
      <c r="D63" s="207">
        <v>0</v>
      </c>
      <c r="E63" s="99">
        <v>0</v>
      </c>
      <c r="F63" s="99">
        <v>0</v>
      </c>
      <c r="G63" s="99">
        <v>0</v>
      </c>
      <c r="H63" s="99">
        <v>0</v>
      </c>
      <c r="I63" s="100">
        <v>0</v>
      </c>
    </row>
    <row r="64" spans="1:9" x14ac:dyDescent="0.2">
      <c r="A64" s="204"/>
      <c r="B64" s="205" t="s">
        <v>404</v>
      </c>
      <c r="C64" s="202">
        <v>7200</v>
      </c>
      <c r="D64" s="207">
        <v>0</v>
      </c>
      <c r="E64" s="99">
        <v>0</v>
      </c>
      <c r="F64" s="99">
        <v>0</v>
      </c>
      <c r="G64" s="99">
        <v>0</v>
      </c>
      <c r="H64" s="99">
        <v>0</v>
      </c>
      <c r="I64" s="100">
        <v>0</v>
      </c>
    </row>
    <row r="65" spans="1:9" x14ac:dyDescent="0.2">
      <c r="A65" s="204"/>
      <c r="B65" s="205" t="s">
        <v>405</v>
      </c>
      <c r="C65" s="202">
        <v>7300</v>
      </c>
      <c r="D65" s="207">
        <v>0</v>
      </c>
      <c r="E65" s="99">
        <v>0</v>
      </c>
      <c r="F65" s="99">
        <v>0</v>
      </c>
      <c r="G65" s="99">
        <v>0</v>
      </c>
      <c r="H65" s="99">
        <v>0</v>
      </c>
      <c r="I65" s="100">
        <v>0</v>
      </c>
    </row>
    <row r="66" spans="1:9" x14ac:dyDescent="0.2">
      <c r="A66" s="204"/>
      <c r="B66" s="205" t="s">
        <v>406</v>
      </c>
      <c r="C66" s="202">
        <v>7400</v>
      </c>
      <c r="D66" s="207">
        <v>0</v>
      </c>
      <c r="E66" s="99">
        <v>0</v>
      </c>
      <c r="F66" s="99">
        <v>0</v>
      </c>
      <c r="G66" s="99">
        <v>0</v>
      </c>
      <c r="H66" s="99">
        <v>0</v>
      </c>
      <c r="I66" s="100">
        <v>0</v>
      </c>
    </row>
    <row r="67" spans="1:9" ht="18" x14ac:dyDescent="0.2">
      <c r="A67" s="204"/>
      <c r="B67" s="205" t="s">
        <v>407</v>
      </c>
      <c r="C67" s="202">
        <v>7500</v>
      </c>
      <c r="D67" s="207">
        <v>0</v>
      </c>
      <c r="E67" s="99">
        <v>0</v>
      </c>
      <c r="F67" s="99">
        <v>0</v>
      </c>
      <c r="G67" s="99">
        <v>0</v>
      </c>
      <c r="H67" s="99">
        <v>0</v>
      </c>
      <c r="I67" s="100">
        <v>0</v>
      </c>
    </row>
    <row r="68" spans="1:9" x14ac:dyDescent="0.2">
      <c r="A68" s="204"/>
      <c r="B68" s="205" t="s">
        <v>408</v>
      </c>
      <c r="C68" s="208"/>
      <c r="D68" s="207"/>
      <c r="E68" s="99"/>
      <c r="F68" s="99"/>
      <c r="G68" s="99"/>
      <c r="H68" s="99"/>
      <c r="I68" s="100">
        <v>0</v>
      </c>
    </row>
    <row r="69" spans="1:9" x14ac:dyDescent="0.2">
      <c r="A69" s="204"/>
      <c r="B69" s="205" t="s">
        <v>409</v>
      </c>
      <c r="C69" s="202">
        <v>7600</v>
      </c>
      <c r="D69" s="207">
        <v>0</v>
      </c>
      <c r="E69" s="99">
        <v>0</v>
      </c>
      <c r="F69" s="99">
        <v>0</v>
      </c>
      <c r="G69" s="99">
        <v>0</v>
      </c>
      <c r="H69" s="99">
        <v>0</v>
      </c>
      <c r="I69" s="100">
        <v>0</v>
      </c>
    </row>
    <row r="70" spans="1:9" ht="18" x14ac:dyDescent="0.2">
      <c r="A70" s="204"/>
      <c r="B70" s="205" t="s">
        <v>410</v>
      </c>
      <c r="C70" s="202">
        <v>7900</v>
      </c>
      <c r="D70" s="207">
        <v>135484416</v>
      </c>
      <c r="E70" s="99">
        <v>113822323.65000001</v>
      </c>
      <c r="F70" s="99">
        <v>249306739.65000001</v>
      </c>
      <c r="G70" s="99">
        <v>0</v>
      </c>
      <c r="H70" s="99">
        <v>0</v>
      </c>
      <c r="I70" s="100">
        <v>0</v>
      </c>
    </row>
    <row r="71" spans="1:9" x14ac:dyDescent="0.2">
      <c r="A71" s="379" t="s">
        <v>411</v>
      </c>
      <c r="B71" s="380"/>
      <c r="C71" s="202">
        <v>24900</v>
      </c>
      <c r="D71" s="203">
        <v>4220950947</v>
      </c>
      <c r="E71" s="203">
        <v>10682842.840000002</v>
      </c>
      <c r="F71" s="203">
        <v>4231633789.8400002</v>
      </c>
      <c r="G71" s="203">
        <v>2419929350.1500001</v>
      </c>
      <c r="H71" s="203">
        <v>2416813505.71</v>
      </c>
      <c r="I71" s="100">
        <v>57.331378178415967</v>
      </c>
    </row>
    <row r="72" spans="1:9" x14ac:dyDescent="0.2">
      <c r="A72" s="204"/>
      <c r="B72" s="205" t="s">
        <v>412</v>
      </c>
      <c r="C72" s="202">
        <v>8100</v>
      </c>
      <c r="D72" s="207">
        <v>4142750947</v>
      </c>
      <c r="E72" s="99">
        <v>-16333001.6</v>
      </c>
      <c r="F72" s="99">
        <v>4126417945.4000001</v>
      </c>
      <c r="G72" s="99">
        <v>2391823505.71</v>
      </c>
      <c r="H72" s="99">
        <v>2391823505.71</v>
      </c>
      <c r="I72" s="100">
        <v>57.735150780474854</v>
      </c>
    </row>
    <row r="73" spans="1:9" x14ac:dyDescent="0.2">
      <c r="A73" s="204"/>
      <c r="B73" s="205" t="s">
        <v>413</v>
      </c>
      <c r="C73" s="202">
        <v>8300</v>
      </c>
      <c r="D73" s="207">
        <v>20300000</v>
      </c>
      <c r="E73" s="99">
        <v>5850000</v>
      </c>
      <c r="F73" s="99">
        <v>26150000</v>
      </c>
      <c r="G73" s="99">
        <v>6940000</v>
      </c>
      <c r="H73" s="99">
        <v>4990000</v>
      </c>
      <c r="I73" s="100">
        <v>34.187192118226598</v>
      </c>
    </row>
    <row r="74" spans="1:9" x14ac:dyDescent="0.2">
      <c r="A74" s="204"/>
      <c r="B74" s="205" t="s">
        <v>414</v>
      </c>
      <c r="C74" s="202">
        <v>8500</v>
      </c>
      <c r="D74" s="207">
        <v>57900000</v>
      </c>
      <c r="E74" s="99">
        <v>21165844.440000001</v>
      </c>
      <c r="F74" s="99">
        <v>79065844.439999998</v>
      </c>
      <c r="G74" s="99">
        <v>21165844.440000001</v>
      </c>
      <c r="H74" s="99">
        <v>20000000</v>
      </c>
      <c r="I74" s="100">
        <v>36.555862590673577</v>
      </c>
    </row>
    <row r="75" spans="1:9" x14ac:dyDescent="0.2">
      <c r="A75" s="379" t="s">
        <v>415</v>
      </c>
      <c r="B75" s="380"/>
      <c r="C75" s="202">
        <v>66000</v>
      </c>
      <c r="D75" s="203">
        <v>3849764262.4699998</v>
      </c>
      <c r="E75" s="203">
        <v>2197221861.5300002</v>
      </c>
      <c r="F75" s="203">
        <v>6046986124</v>
      </c>
      <c r="G75" s="203">
        <v>5596830267.1800003</v>
      </c>
      <c r="H75" s="203">
        <v>5438349195.0100002</v>
      </c>
      <c r="I75" s="100">
        <v>145.38111649436652</v>
      </c>
    </row>
    <row r="76" spans="1:9" x14ac:dyDescent="0.2">
      <c r="A76" s="204"/>
      <c r="B76" s="205" t="s">
        <v>416</v>
      </c>
      <c r="C76" s="202">
        <v>9100</v>
      </c>
      <c r="D76" s="207">
        <v>1342646952.4400001</v>
      </c>
      <c r="E76" s="99">
        <v>1941588211.9300001</v>
      </c>
      <c r="F76" s="99">
        <v>3284235164.3699999</v>
      </c>
      <c r="G76" s="99">
        <v>2993205472.29</v>
      </c>
      <c r="H76" s="99">
        <v>2993205472.29</v>
      </c>
      <c r="I76" s="100">
        <v>222.93317441717869</v>
      </c>
    </row>
    <row r="77" spans="1:9" x14ac:dyDescent="0.2">
      <c r="A77" s="204"/>
      <c r="B77" s="205" t="s">
        <v>417</v>
      </c>
      <c r="C77" s="202">
        <v>9200</v>
      </c>
      <c r="D77" s="207">
        <v>1196640909.6400001</v>
      </c>
      <c r="E77" s="99">
        <v>-315136592.61000001</v>
      </c>
      <c r="F77" s="99">
        <v>881504317.03000009</v>
      </c>
      <c r="G77" s="99">
        <v>871795323.41999996</v>
      </c>
      <c r="H77" s="99">
        <v>871795323.41999996</v>
      </c>
      <c r="I77" s="100">
        <v>72.853544985543962</v>
      </c>
    </row>
    <row r="78" spans="1:9" x14ac:dyDescent="0.2">
      <c r="A78" s="204"/>
      <c r="B78" s="205" t="s">
        <v>418</v>
      </c>
      <c r="C78" s="202">
        <v>9300</v>
      </c>
      <c r="D78" s="207">
        <v>54610887.850000001</v>
      </c>
      <c r="E78" s="99">
        <v>-54610887.850000001</v>
      </c>
      <c r="F78" s="99">
        <v>0</v>
      </c>
      <c r="G78" s="99">
        <v>0</v>
      </c>
      <c r="H78" s="99">
        <v>0</v>
      </c>
      <c r="I78" s="100">
        <v>0</v>
      </c>
    </row>
    <row r="79" spans="1:9" x14ac:dyDescent="0.2">
      <c r="A79" s="204"/>
      <c r="B79" s="205" t="s">
        <v>419</v>
      </c>
      <c r="C79" s="202">
        <v>9400</v>
      </c>
      <c r="D79" s="207">
        <v>0</v>
      </c>
      <c r="E79" s="99">
        <v>17917291.25</v>
      </c>
      <c r="F79" s="99">
        <v>17917291.25</v>
      </c>
      <c r="G79" s="99">
        <v>14930464.130000001</v>
      </c>
      <c r="H79" s="99">
        <v>14254556.73</v>
      </c>
      <c r="I79" s="100">
        <v>0</v>
      </c>
    </row>
    <row r="80" spans="1:9" x14ac:dyDescent="0.2">
      <c r="A80" s="204"/>
      <c r="B80" s="205" t="s">
        <v>420</v>
      </c>
      <c r="C80" s="202">
        <v>9500</v>
      </c>
      <c r="D80" s="207">
        <v>60000000</v>
      </c>
      <c r="E80" s="99">
        <v>-54079487.130000003</v>
      </c>
      <c r="F80" s="99">
        <v>5920512.8699999973</v>
      </c>
      <c r="G80" s="99">
        <v>5920512.8700000001</v>
      </c>
      <c r="H80" s="99">
        <v>5920512.8700000001</v>
      </c>
      <c r="I80" s="100">
        <v>9.8675214499999999</v>
      </c>
    </row>
    <row r="81" spans="1:9" x14ac:dyDescent="0.2">
      <c r="A81" s="204"/>
      <c r="B81" s="205" t="s">
        <v>421</v>
      </c>
      <c r="C81" s="202">
        <v>9600</v>
      </c>
      <c r="D81" s="207">
        <v>195865512.53999999</v>
      </c>
      <c r="E81" s="99">
        <v>-20342701.539999999</v>
      </c>
      <c r="F81" s="99">
        <v>175522811</v>
      </c>
      <c r="G81" s="99">
        <v>109527731.40000001</v>
      </c>
      <c r="H81" s="99">
        <v>109527731.40000001</v>
      </c>
      <c r="I81" s="100">
        <v>55.919865615766362</v>
      </c>
    </row>
    <row r="82" spans="1:9" x14ac:dyDescent="0.2">
      <c r="A82" s="204"/>
      <c r="B82" s="205" t="s">
        <v>422</v>
      </c>
      <c r="C82" s="202">
        <v>9900</v>
      </c>
      <c r="D82" s="207">
        <v>1000000000</v>
      </c>
      <c r="E82" s="99">
        <v>681886027.48000002</v>
      </c>
      <c r="F82" s="99">
        <v>1681886027.48</v>
      </c>
      <c r="G82" s="99">
        <v>1601450763.0699999</v>
      </c>
      <c r="H82" s="99">
        <v>1443645598.3</v>
      </c>
      <c r="I82" s="100">
        <v>160.14507630699998</v>
      </c>
    </row>
    <row r="83" spans="1:9" ht="13.5" thickBot="1" x14ac:dyDescent="0.25">
      <c r="A83" s="385"/>
      <c r="B83" s="386"/>
      <c r="C83" s="209"/>
      <c r="D83" s="207"/>
      <c r="E83" s="99"/>
      <c r="F83" s="99"/>
      <c r="G83" s="99"/>
      <c r="H83" s="99"/>
      <c r="I83" s="100">
        <v>0</v>
      </c>
    </row>
    <row r="84" spans="1:9" x14ac:dyDescent="0.2">
      <c r="A84" s="387" t="s">
        <v>423</v>
      </c>
      <c r="B84" s="388"/>
      <c r="C84" s="97">
        <v>315300</v>
      </c>
      <c r="D84" s="201">
        <v>20086465075</v>
      </c>
      <c r="E84" s="201">
        <v>3070342927.0900002</v>
      </c>
      <c r="F84" s="201">
        <v>23156808002.090008</v>
      </c>
      <c r="G84" s="201">
        <v>11852736171.880001</v>
      </c>
      <c r="H84" s="201">
        <v>11564874725.84</v>
      </c>
      <c r="I84" s="100">
        <v>59.008571829954015</v>
      </c>
    </row>
    <row r="85" spans="1:9" x14ac:dyDescent="0.2">
      <c r="A85" s="379" t="s">
        <v>350</v>
      </c>
      <c r="B85" s="380"/>
      <c r="C85" s="202">
        <v>9800</v>
      </c>
      <c r="D85" s="203">
        <v>1252409590.8800004</v>
      </c>
      <c r="E85" s="203">
        <v>-148590110.60999998</v>
      </c>
      <c r="F85" s="203">
        <v>1103819480.27</v>
      </c>
      <c r="G85" s="203">
        <v>608270330.80999994</v>
      </c>
      <c r="H85" s="203">
        <v>545041487.67000008</v>
      </c>
      <c r="I85" s="100">
        <v>48.56800325064593</v>
      </c>
    </row>
    <row r="86" spans="1:9" x14ac:dyDescent="0.2">
      <c r="A86" s="204"/>
      <c r="B86" s="205" t="s">
        <v>351</v>
      </c>
      <c r="C86" s="202">
        <v>1100</v>
      </c>
      <c r="D86" s="207">
        <v>300364206.41000003</v>
      </c>
      <c r="E86" s="99">
        <v>-124928611.59999999</v>
      </c>
      <c r="F86" s="99">
        <v>175435594.81000003</v>
      </c>
      <c r="G86" s="99">
        <v>109469407.22</v>
      </c>
      <c r="H86" s="99">
        <v>109469407.22</v>
      </c>
      <c r="I86" s="100">
        <v>36.445556722085989</v>
      </c>
    </row>
    <row r="87" spans="1:9" x14ac:dyDescent="0.2">
      <c r="A87" s="204"/>
      <c r="B87" s="205" t="s">
        <v>352</v>
      </c>
      <c r="C87" s="202">
        <v>1200</v>
      </c>
      <c r="D87" s="207">
        <v>325643.84999999998</v>
      </c>
      <c r="E87" s="99">
        <v>3276009.9</v>
      </c>
      <c r="F87" s="99">
        <v>3601653.75</v>
      </c>
      <c r="G87" s="99">
        <v>3540381.81</v>
      </c>
      <c r="H87" s="99">
        <v>3540381.81</v>
      </c>
      <c r="I87" s="100">
        <v>1087.1944334278078</v>
      </c>
    </row>
    <row r="88" spans="1:9" x14ac:dyDescent="0.2">
      <c r="A88" s="204"/>
      <c r="B88" s="205" t="s">
        <v>353</v>
      </c>
      <c r="C88" s="202">
        <v>1300</v>
      </c>
      <c r="D88" s="207">
        <v>66216111.93</v>
      </c>
      <c r="E88" s="99">
        <v>-33229964.579999998</v>
      </c>
      <c r="F88" s="99">
        <v>32986147.350000001</v>
      </c>
      <c r="G88" s="99">
        <v>5858895.9699999997</v>
      </c>
      <c r="H88" s="99">
        <v>5858895.9699999997</v>
      </c>
      <c r="I88" s="100">
        <v>8.8481425430017691</v>
      </c>
    </row>
    <row r="89" spans="1:9" x14ac:dyDescent="0.2">
      <c r="A89" s="204"/>
      <c r="B89" s="205" t="s">
        <v>354</v>
      </c>
      <c r="C89" s="202">
        <v>1400</v>
      </c>
      <c r="D89" s="207">
        <v>776698879.84000003</v>
      </c>
      <c r="E89" s="99">
        <v>30422095.719999999</v>
      </c>
      <c r="F89" s="99">
        <v>807120975.56000006</v>
      </c>
      <c r="G89" s="99">
        <v>450480818.99000001</v>
      </c>
      <c r="H89" s="99">
        <v>387251975.85000002</v>
      </c>
      <c r="I89" s="100">
        <v>57.999416592798369</v>
      </c>
    </row>
    <row r="90" spans="1:9" x14ac:dyDescent="0.2">
      <c r="A90" s="204"/>
      <c r="B90" s="205" t="s">
        <v>355</v>
      </c>
      <c r="C90" s="202">
        <v>1500</v>
      </c>
      <c r="D90" s="207">
        <v>106687791.43000001</v>
      </c>
      <c r="E90" s="99">
        <v>-24440134.640000001</v>
      </c>
      <c r="F90" s="99">
        <v>82247656.790000007</v>
      </c>
      <c r="G90" s="99">
        <v>36832298.060000002</v>
      </c>
      <c r="H90" s="99">
        <v>36832298.060000002</v>
      </c>
      <c r="I90" s="100">
        <v>34.52344224799743</v>
      </c>
    </row>
    <row r="91" spans="1:9" x14ac:dyDescent="0.2">
      <c r="A91" s="204"/>
      <c r="B91" s="205" t="s">
        <v>356</v>
      </c>
      <c r="C91" s="202">
        <v>1600</v>
      </c>
      <c r="D91" s="207">
        <v>0</v>
      </c>
      <c r="E91" s="99">
        <v>0</v>
      </c>
      <c r="F91" s="99">
        <v>0</v>
      </c>
      <c r="G91" s="99">
        <v>0</v>
      </c>
      <c r="H91" s="99">
        <v>0</v>
      </c>
      <c r="I91" s="100">
        <v>0</v>
      </c>
    </row>
    <row r="92" spans="1:9" x14ac:dyDescent="0.2">
      <c r="A92" s="204"/>
      <c r="B92" s="205" t="s">
        <v>357</v>
      </c>
      <c r="C92" s="202">
        <v>1700</v>
      </c>
      <c r="D92" s="207">
        <v>2116957.42</v>
      </c>
      <c r="E92" s="99">
        <v>310494.59000000003</v>
      </c>
      <c r="F92" s="99">
        <v>2427452.0099999998</v>
      </c>
      <c r="G92" s="99">
        <v>2088528.76</v>
      </c>
      <c r="H92" s="99">
        <v>2088528.76</v>
      </c>
      <c r="I92" s="100">
        <v>98.657098166858731</v>
      </c>
    </row>
    <row r="93" spans="1:9" x14ac:dyDescent="0.2">
      <c r="A93" s="379" t="s">
        <v>358</v>
      </c>
      <c r="B93" s="380"/>
      <c r="C93" s="202">
        <v>22500</v>
      </c>
      <c r="D93" s="203">
        <v>984972</v>
      </c>
      <c r="E93" s="203">
        <v>53783297.200000003</v>
      </c>
      <c r="F93" s="203">
        <v>54768269.200000003</v>
      </c>
      <c r="G93" s="203">
        <v>7846388.8300000001</v>
      </c>
      <c r="H93" s="203">
        <v>7816720.9699999997</v>
      </c>
      <c r="I93" s="100">
        <v>796.61034323818342</v>
      </c>
    </row>
    <row r="94" spans="1:9" ht="18" x14ac:dyDescent="0.2">
      <c r="A94" s="204"/>
      <c r="B94" s="205" t="s">
        <v>359</v>
      </c>
      <c r="C94" s="202">
        <v>2100</v>
      </c>
      <c r="D94" s="207">
        <v>407000</v>
      </c>
      <c r="E94" s="99">
        <v>744527.1</v>
      </c>
      <c r="F94" s="99">
        <v>1151527.1000000001</v>
      </c>
      <c r="G94" s="99">
        <v>783171.55</v>
      </c>
      <c r="H94" s="99">
        <v>783171.55</v>
      </c>
      <c r="I94" s="100">
        <v>192.42544226044228</v>
      </c>
    </row>
    <row r="95" spans="1:9" x14ac:dyDescent="0.2">
      <c r="A95" s="204"/>
      <c r="B95" s="205" t="s">
        <v>360</v>
      </c>
      <c r="C95" s="202">
        <v>2200</v>
      </c>
      <c r="D95" s="207">
        <v>0</v>
      </c>
      <c r="E95" s="99">
        <v>23369.21</v>
      </c>
      <c r="F95" s="99">
        <v>23369.21</v>
      </c>
      <c r="G95" s="99">
        <v>169</v>
      </c>
      <c r="H95" s="99">
        <v>169</v>
      </c>
      <c r="I95" s="100">
        <v>0</v>
      </c>
    </row>
    <row r="96" spans="1:9" ht="18" x14ac:dyDescent="0.2">
      <c r="A96" s="204"/>
      <c r="B96" s="205" t="s">
        <v>361</v>
      </c>
      <c r="C96" s="202">
        <v>2300</v>
      </c>
      <c r="D96" s="207">
        <v>0</v>
      </c>
      <c r="E96" s="99">
        <v>0</v>
      </c>
      <c r="F96" s="99">
        <v>0</v>
      </c>
      <c r="G96" s="99">
        <v>0</v>
      </c>
      <c r="H96" s="99">
        <v>0</v>
      </c>
      <c r="I96" s="100">
        <v>0</v>
      </c>
    </row>
    <row r="97" spans="1:9" ht="18" x14ac:dyDescent="0.2">
      <c r="A97" s="204"/>
      <c r="B97" s="205" t="s">
        <v>362</v>
      </c>
      <c r="C97" s="202">
        <v>2400</v>
      </c>
      <c r="D97" s="207">
        <v>0</v>
      </c>
      <c r="E97" s="99">
        <v>1217607.83</v>
      </c>
      <c r="F97" s="99">
        <v>1217607.83</v>
      </c>
      <c r="G97" s="99">
        <v>691302.99</v>
      </c>
      <c r="H97" s="99">
        <v>661635.13</v>
      </c>
      <c r="I97" s="100">
        <v>0</v>
      </c>
    </row>
    <row r="98" spans="1:9" x14ac:dyDescent="0.2">
      <c r="A98" s="204"/>
      <c r="B98" s="205" t="s">
        <v>363</v>
      </c>
      <c r="C98" s="202">
        <v>2500</v>
      </c>
      <c r="D98" s="207">
        <v>0</v>
      </c>
      <c r="E98" s="99">
        <v>10789153.289999999</v>
      </c>
      <c r="F98" s="99">
        <v>10789153.289999999</v>
      </c>
      <c r="G98" s="99">
        <v>6003.49</v>
      </c>
      <c r="H98" s="99">
        <v>6003.49</v>
      </c>
      <c r="I98" s="100">
        <v>0</v>
      </c>
    </row>
    <row r="99" spans="1:9" x14ac:dyDescent="0.2">
      <c r="A99" s="204"/>
      <c r="B99" s="205" t="s">
        <v>364</v>
      </c>
      <c r="C99" s="202">
        <v>2600</v>
      </c>
      <c r="D99" s="207">
        <v>562972</v>
      </c>
      <c r="E99" s="99">
        <v>448593.49</v>
      </c>
      <c r="F99" s="99">
        <v>1011565.49</v>
      </c>
      <c r="G99" s="99">
        <v>663663.19999999995</v>
      </c>
      <c r="H99" s="99">
        <v>663663.19999999995</v>
      </c>
      <c r="I99" s="100">
        <v>117.88564973035957</v>
      </c>
    </row>
    <row r="100" spans="1:9" ht="18" x14ac:dyDescent="0.2">
      <c r="A100" s="204"/>
      <c r="B100" s="205" t="s">
        <v>365</v>
      </c>
      <c r="C100" s="202">
        <v>2700</v>
      </c>
      <c r="D100" s="207">
        <v>0</v>
      </c>
      <c r="E100" s="99">
        <v>18871916.260000002</v>
      </c>
      <c r="F100" s="99">
        <v>18871916.260000002</v>
      </c>
      <c r="G100" s="99">
        <v>5485666.0999999996</v>
      </c>
      <c r="H100" s="99">
        <v>5485666.0999999996</v>
      </c>
      <c r="I100" s="100">
        <v>0</v>
      </c>
    </row>
    <row r="101" spans="1:9" x14ac:dyDescent="0.2">
      <c r="A101" s="204"/>
      <c r="B101" s="205" t="s">
        <v>366</v>
      </c>
      <c r="C101" s="202">
        <v>2800</v>
      </c>
      <c r="D101" s="207">
        <v>0</v>
      </c>
      <c r="E101" s="99">
        <v>21578111.850000001</v>
      </c>
      <c r="F101" s="99">
        <v>21578111.850000001</v>
      </c>
      <c r="G101" s="99">
        <v>127600</v>
      </c>
      <c r="H101" s="99">
        <v>127600</v>
      </c>
      <c r="I101" s="100">
        <v>0</v>
      </c>
    </row>
    <row r="102" spans="1:9" x14ac:dyDescent="0.2">
      <c r="A102" s="204"/>
      <c r="B102" s="205" t="s">
        <v>367</v>
      </c>
      <c r="C102" s="202">
        <v>2900</v>
      </c>
      <c r="D102" s="207">
        <v>15000</v>
      </c>
      <c r="E102" s="99">
        <v>110018.17</v>
      </c>
      <c r="F102" s="99">
        <v>125018.17</v>
      </c>
      <c r="G102" s="99">
        <v>88812.5</v>
      </c>
      <c r="H102" s="99">
        <v>88812.5</v>
      </c>
      <c r="I102" s="100">
        <v>592.08333333333337</v>
      </c>
    </row>
    <row r="103" spans="1:9" x14ac:dyDescent="0.2">
      <c r="A103" s="379" t="s">
        <v>368</v>
      </c>
      <c r="B103" s="380"/>
      <c r="C103" s="202">
        <v>31500</v>
      </c>
      <c r="D103" s="203">
        <v>316754180</v>
      </c>
      <c r="E103" s="203">
        <v>265007227.95000002</v>
      </c>
      <c r="F103" s="203">
        <v>581761407.94999993</v>
      </c>
      <c r="G103" s="203">
        <v>142486652.05000001</v>
      </c>
      <c r="H103" s="203">
        <v>141375309.31999999</v>
      </c>
      <c r="I103" s="100">
        <v>44.983353353063883</v>
      </c>
    </row>
    <row r="104" spans="1:9" x14ac:dyDescent="0.2">
      <c r="A104" s="204"/>
      <c r="B104" s="205" t="s">
        <v>369</v>
      </c>
      <c r="C104" s="202">
        <v>3100</v>
      </c>
      <c r="D104" s="207">
        <v>300132000</v>
      </c>
      <c r="E104" s="99">
        <v>26207999.390000001</v>
      </c>
      <c r="F104" s="99">
        <v>326339999.38999999</v>
      </c>
      <c r="G104" s="99">
        <v>11844771.32</v>
      </c>
      <c r="H104" s="99">
        <v>11821814.789999999</v>
      </c>
      <c r="I104" s="100">
        <v>3.9465206375861288</v>
      </c>
    </row>
    <row r="105" spans="1:9" x14ac:dyDescent="0.2">
      <c r="A105" s="204"/>
      <c r="B105" s="205" t="s">
        <v>370</v>
      </c>
      <c r="C105" s="202">
        <v>3200</v>
      </c>
      <c r="D105" s="207">
        <v>436000</v>
      </c>
      <c r="E105" s="99">
        <v>104039133.66</v>
      </c>
      <c r="F105" s="99">
        <v>104475133.66</v>
      </c>
      <c r="G105" s="99">
        <v>52126298.789999999</v>
      </c>
      <c r="H105" s="99">
        <v>52126298.789999999</v>
      </c>
      <c r="I105" s="100">
        <v>11955.573116972477</v>
      </c>
    </row>
    <row r="106" spans="1:9" ht="18" x14ac:dyDescent="0.2">
      <c r="A106" s="204"/>
      <c r="B106" s="205" t="s">
        <v>371</v>
      </c>
      <c r="C106" s="202">
        <v>3300</v>
      </c>
      <c r="D106" s="207">
        <v>14284140</v>
      </c>
      <c r="E106" s="99">
        <v>35118536.07</v>
      </c>
      <c r="F106" s="99">
        <v>49402676.07</v>
      </c>
      <c r="G106" s="99">
        <v>8555447.0299999993</v>
      </c>
      <c r="H106" s="99">
        <v>7561630.75</v>
      </c>
      <c r="I106" s="100">
        <v>59.894729609202933</v>
      </c>
    </row>
    <row r="107" spans="1:9" x14ac:dyDescent="0.2">
      <c r="A107" s="204"/>
      <c r="B107" s="205" t="s">
        <v>372</v>
      </c>
      <c r="C107" s="202">
        <v>3400</v>
      </c>
      <c r="D107" s="207">
        <v>65000</v>
      </c>
      <c r="E107" s="99">
        <v>0</v>
      </c>
      <c r="F107" s="99">
        <v>65000</v>
      </c>
      <c r="G107" s="99">
        <v>787.99</v>
      </c>
      <c r="H107" s="99">
        <v>787.99</v>
      </c>
      <c r="I107" s="100">
        <v>1.2122923076923076</v>
      </c>
    </row>
    <row r="108" spans="1:9" ht="18" x14ac:dyDescent="0.2">
      <c r="A108" s="204"/>
      <c r="B108" s="205" t="s">
        <v>373</v>
      </c>
      <c r="C108" s="202">
        <v>3500</v>
      </c>
      <c r="D108" s="207">
        <v>265000</v>
      </c>
      <c r="E108" s="99">
        <v>99219152.609999999</v>
      </c>
      <c r="F108" s="99">
        <v>99484152.609999999</v>
      </c>
      <c r="G108" s="99">
        <v>69473178.920000002</v>
      </c>
      <c r="H108" s="99">
        <v>69380009</v>
      </c>
      <c r="I108" s="100">
        <v>26216.293932075474</v>
      </c>
    </row>
    <row r="109" spans="1:9" x14ac:dyDescent="0.2">
      <c r="A109" s="204"/>
      <c r="B109" s="205" t="s">
        <v>374</v>
      </c>
      <c r="C109" s="202">
        <v>3600</v>
      </c>
      <c r="D109" s="207">
        <v>0</v>
      </c>
      <c r="E109" s="99">
        <v>0</v>
      </c>
      <c r="F109" s="99">
        <v>0</v>
      </c>
      <c r="G109" s="99">
        <v>0</v>
      </c>
      <c r="H109" s="99">
        <v>0</v>
      </c>
      <c r="I109" s="100">
        <v>0</v>
      </c>
    </row>
    <row r="110" spans="1:9" x14ac:dyDescent="0.2">
      <c r="A110" s="204"/>
      <c r="B110" s="205" t="s">
        <v>375</v>
      </c>
      <c r="C110" s="202">
        <v>3700</v>
      </c>
      <c r="D110" s="207">
        <v>1414040</v>
      </c>
      <c r="E110" s="99">
        <v>422511.82</v>
      </c>
      <c r="F110" s="99">
        <v>1836551.82</v>
      </c>
      <c r="G110" s="99">
        <v>486168</v>
      </c>
      <c r="H110" s="99">
        <v>484768</v>
      </c>
      <c r="I110" s="100">
        <v>34.3814885010325</v>
      </c>
    </row>
    <row r="111" spans="1:9" x14ac:dyDescent="0.2">
      <c r="A111" s="204"/>
      <c r="B111" s="205" t="s">
        <v>376</v>
      </c>
      <c r="C111" s="202">
        <v>3800</v>
      </c>
      <c r="D111" s="207">
        <v>84000</v>
      </c>
      <c r="E111" s="99">
        <v>0</v>
      </c>
      <c r="F111" s="99">
        <v>84000</v>
      </c>
      <c r="G111" s="99">
        <v>0</v>
      </c>
      <c r="H111" s="99">
        <v>0</v>
      </c>
      <c r="I111" s="100">
        <v>0</v>
      </c>
    </row>
    <row r="112" spans="1:9" x14ac:dyDescent="0.2">
      <c r="A112" s="204"/>
      <c r="B112" s="205" t="s">
        <v>377</v>
      </c>
      <c r="C112" s="202">
        <v>3900</v>
      </c>
      <c r="D112" s="207">
        <v>74000</v>
      </c>
      <c r="E112" s="99">
        <v>-105.6</v>
      </c>
      <c r="F112" s="99">
        <v>73894.399999999994</v>
      </c>
      <c r="G112" s="99">
        <v>0</v>
      </c>
      <c r="H112" s="99">
        <v>0</v>
      </c>
      <c r="I112" s="100">
        <v>0</v>
      </c>
    </row>
    <row r="113" spans="1:9" ht="18.600000000000001" customHeight="1" x14ac:dyDescent="0.2">
      <c r="A113" s="383" t="s">
        <v>378</v>
      </c>
      <c r="B113" s="384"/>
      <c r="C113" s="202">
        <v>40500</v>
      </c>
      <c r="D113" s="203">
        <v>12797983161.120001</v>
      </c>
      <c r="E113" s="203">
        <v>2647265507.7400002</v>
      </c>
      <c r="F113" s="203">
        <v>15445248668.860003</v>
      </c>
      <c r="G113" s="203">
        <v>8745748444.9899998</v>
      </c>
      <c r="H113" s="203">
        <v>8634762995.7600002</v>
      </c>
      <c r="I113" s="100">
        <v>68.336927271160945</v>
      </c>
    </row>
    <row r="114" spans="1:9" ht="18" x14ac:dyDescent="0.2">
      <c r="A114" s="204"/>
      <c r="B114" s="205" t="s">
        <v>379</v>
      </c>
      <c r="C114" s="202">
        <v>4100</v>
      </c>
      <c r="D114" s="207">
        <v>12395301610.120001</v>
      </c>
      <c r="E114" s="99">
        <v>2643488882.21</v>
      </c>
      <c r="F114" s="99">
        <v>15038790492.330002</v>
      </c>
      <c r="G114" s="99">
        <v>8492411780.8999996</v>
      </c>
      <c r="H114" s="99">
        <v>8396426502.6700001</v>
      </c>
      <c r="I114" s="100">
        <v>68.513151579679743</v>
      </c>
    </row>
    <row r="115" spans="1:9" x14ac:dyDescent="0.2">
      <c r="A115" s="204"/>
      <c r="B115" s="205" t="s">
        <v>380</v>
      </c>
      <c r="C115" s="202">
        <v>4200</v>
      </c>
      <c r="D115" s="207">
        <v>0</v>
      </c>
      <c r="E115" s="99">
        <v>0</v>
      </c>
      <c r="F115" s="99">
        <v>0</v>
      </c>
      <c r="G115" s="99">
        <v>0</v>
      </c>
      <c r="H115" s="99">
        <v>0</v>
      </c>
      <c r="I115" s="100">
        <v>0</v>
      </c>
    </row>
    <row r="116" spans="1:9" x14ac:dyDescent="0.2">
      <c r="A116" s="204"/>
      <c r="B116" s="205" t="s">
        <v>381</v>
      </c>
      <c r="C116" s="202">
        <v>4300</v>
      </c>
      <c r="D116" s="207">
        <v>213000000</v>
      </c>
      <c r="E116" s="99">
        <v>3014274.59</v>
      </c>
      <c r="F116" s="99">
        <v>216014274.59</v>
      </c>
      <c r="G116" s="99">
        <v>162573287.15000001</v>
      </c>
      <c r="H116" s="99">
        <v>162573287.15000001</v>
      </c>
      <c r="I116" s="100">
        <v>76.32548692488264</v>
      </c>
    </row>
    <row r="117" spans="1:9" x14ac:dyDescent="0.2">
      <c r="A117" s="204"/>
      <c r="B117" s="205" t="s">
        <v>382</v>
      </c>
      <c r="C117" s="202">
        <v>4400</v>
      </c>
      <c r="D117" s="207">
        <v>189681551</v>
      </c>
      <c r="E117" s="99">
        <v>762350.94</v>
      </c>
      <c r="F117" s="99">
        <v>190443901.94</v>
      </c>
      <c r="G117" s="99">
        <v>90763376.939999998</v>
      </c>
      <c r="H117" s="99">
        <v>75763205.939999998</v>
      </c>
      <c r="I117" s="100">
        <v>47.85039792299041</v>
      </c>
    </row>
    <row r="118" spans="1:9" x14ac:dyDescent="0.2">
      <c r="A118" s="204"/>
      <c r="B118" s="205" t="s">
        <v>383</v>
      </c>
      <c r="C118" s="202">
        <v>4500</v>
      </c>
      <c r="D118" s="207">
        <v>0</v>
      </c>
      <c r="E118" s="99">
        <v>0</v>
      </c>
      <c r="F118" s="99">
        <v>0</v>
      </c>
      <c r="G118" s="99">
        <v>0</v>
      </c>
      <c r="H118" s="99">
        <v>0</v>
      </c>
      <c r="I118" s="100">
        <v>0</v>
      </c>
    </row>
    <row r="119" spans="1:9" ht="18" x14ac:dyDescent="0.2">
      <c r="A119" s="204"/>
      <c r="B119" s="205" t="s">
        <v>384</v>
      </c>
      <c r="C119" s="202">
        <v>4600</v>
      </c>
      <c r="D119" s="207">
        <v>0</v>
      </c>
      <c r="E119" s="99">
        <v>0</v>
      </c>
      <c r="F119" s="99">
        <v>0</v>
      </c>
      <c r="G119" s="99">
        <v>0</v>
      </c>
      <c r="H119" s="99">
        <v>0</v>
      </c>
      <c r="I119" s="100">
        <v>0</v>
      </c>
    </row>
    <row r="120" spans="1:9" x14ac:dyDescent="0.2">
      <c r="A120" s="204"/>
      <c r="B120" s="205" t="s">
        <v>385</v>
      </c>
      <c r="C120" s="202">
        <v>4700</v>
      </c>
      <c r="D120" s="207">
        <v>0</v>
      </c>
      <c r="E120" s="99">
        <v>0</v>
      </c>
      <c r="F120" s="99">
        <v>0</v>
      </c>
      <c r="G120" s="99">
        <v>0</v>
      </c>
      <c r="H120" s="99">
        <v>0</v>
      </c>
      <c r="I120" s="100">
        <v>0</v>
      </c>
    </row>
    <row r="121" spans="1:9" x14ac:dyDescent="0.2">
      <c r="A121" s="204"/>
      <c r="B121" s="205" t="s">
        <v>386</v>
      </c>
      <c r="C121" s="202">
        <v>4800</v>
      </c>
      <c r="D121" s="207">
        <v>0</v>
      </c>
      <c r="E121" s="99">
        <v>0</v>
      </c>
      <c r="F121" s="99">
        <v>0</v>
      </c>
      <c r="G121" s="99">
        <v>0</v>
      </c>
      <c r="H121" s="99">
        <v>0</v>
      </c>
      <c r="I121" s="100">
        <v>0</v>
      </c>
    </row>
    <row r="122" spans="1:9" x14ac:dyDescent="0.2">
      <c r="A122" s="204"/>
      <c r="B122" s="205" t="s">
        <v>387</v>
      </c>
      <c r="C122" s="202">
        <v>4900</v>
      </c>
      <c r="D122" s="207">
        <v>0</v>
      </c>
      <c r="E122" s="99">
        <v>0</v>
      </c>
      <c r="F122" s="99">
        <v>0</v>
      </c>
      <c r="G122" s="99">
        <v>0</v>
      </c>
      <c r="H122" s="99">
        <v>0</v>
      </c>
      <c r="I122" s="100">
        <v>0</v>
      </c>
    </row>
    <row r="123" spans="1:9" ht="18" customHeight="1" x14ac:dyDescent="0.2">
      <c r="A123" s="383" t="s">
        <v>388</v>
      </c>
      <c r="B123" s="384"/>
      <c r="C123" s="202">
        <v>49500</v>
      </c>
      <c r="D123" s="203">
        <v>52158800</v>
      </c>
      <c r="E123" s="203">
        <v>76693110.560000002</v>
      </c>
      <c r="F123" s="203">
        <v>128851910.56000002</v>
      </c>
      <c r="G123" s="203">
        <v>12519476</v>
      </c>
      <c r="H123" s="203">
        <v>9941310.9299999997</v>
      </c>
      <c r="I123" s="100">
        <v>24.002615090837978</v>
      </c>
    </row>
    <row r="124" spans="1:9" x14ac:dyDescent="0.2">
      <c r="A124" s="204"/>
      <c r="B124" s="205" t="s">
        <v>389</v>
      </c>
      <c r="C124" s="202">
        <v>5100</v>
      </c>
      <c r="D124" s="207">
        <v>17632000</v>
      </c>
      <c r="E124" s="99">
        <v>32113736</v>
      </c>
      <c r="F124" s="99">
        <v>49745736</v>
      </c>
      <c r="G124" s="99">
        <v>3182459.18</v>
      </c>
      <c r="H124" s="99">
        <v>1594965.29</v>
      </c>
      <c r="I124" s="100">
        <v>18.049337454627949</v>
      </c>
    </row>
    <row r="125" spans="1:9" x14ac:dyDescent="0.2">
      <c r="A125" s="204"/>
      <c r="B125" s="205" t="s">
        <v>390</v>
      </c>
      <c r="C125" s="202">
        <v>5200</v>
      </c>
      <c r="D125" s="207">
        <v>0</v>
      </c>
      <c r="E125" s="99">
        <v>1465611.45</v>
      </c>
      <c r="F125" s="99">
        <v>1465611.45</v>
      </c>
      <c r="G125" s="99">
        <v>509818.84</v>
      </c>
      <c r="H125" s="99">
        <v>509818.84</v>
      </c>
      <c r="I125" s="100">
        <v>0</v>
      </c>
    </row>
    <row r="126" spans="1:9" x14ac:dyDescent="0.2">
      <c r="A126" s="204"/>
      <c r="B126" s="205" t="s">
        <v>391</v>
      </c>
      <c r="C126" s="202">
        <v>5300</v>
      </c>
      <c r="D126" s="207">
        <v>0</v>
      </c>
      <c r="E126" s="99">
        <v>2728755.22</v>
      </c>
      <c r="F126" s="99">
        <v>2728755.22</v>
      </c>
      <c r="G126" s="99">
        <v>107751.15</v>
      </c>
      <c r="H126" s="99">
        <v>107751.15</v>
      </c>
      <c r="I126" s="100">
        <v>0</v>
      </c>
    </row>
    <row r="127" spans="1:9" x14ac:dyDescent="0.2">
      <c r="A127" s="204"/>
      <c r="B127" s="205" t="s">
        <v>392</v>
      </c>
      <c r="C127" s="202">
        <v>5400</v>
      </c>
      <c r="D127" s="207">
        <v>0</v>
      </c>
      <c r="E127" s="99">
        <v>23212440.140000001</v>
      </c>
      <c r="F127" s="99">
        <v>23212440.140000001</v>
      </c>
      <c r="G127" s="99">
        <v>0</v>
      </c>
      <c r="H127" s="99">
        <v>0</v>
      </c>
      <c r="I127" s="100">
        <v>0</v>
      </c>
    </row>
    <row r="128" spans="1:9" x14ac:dyDescent="0.2">
      <c r="A128" s="204"/>
      <c r="B128" s="205" t="s">
        <v>393</v>
      </c>
      <c r="C128" s="202">
        <v>5500</v>
      </c>
      <c r="D128" s="207">
        <v>17264800</v>
      </c>
      <c r="E128" s="99">
        <v>-1559044.57</v>
      </c>
      <c r="F128" s="99">
        <v>15705755.43</v>
      </c>
      <c r="G128" s="99">
        <v>0</v>
      </c>
      <c r="H128" s="99">
        <v>0</v>
      </c>
      <c r="I128" s="100">
        <v>0</v>
      </c>
    </row>
    <row r="129" spans="1:9" x14ac:dyDescent="0.2">
      <c r="A129" s="204"/>
      <c r="B129" s="205" t="s">
        <v>394</v>
      </c>
      <c r="C129" s="202">
        <v>5600</v>
      </c>
      <c r="D129" s="207">
        <v>17262000</v>
      </c>
      <c r="E129" s="99">
        <v>4537591.18</v>
      </c>
      <c r="F129" s="99">
        <v>21799591.18</v>
      </c>
      <c r="G129" s="99">
        <v>6418515.6500000004</v>
      </c>
      <c r="H129" s="99">
        <v>5673515.6500000004</v>
      </c>
      <c r="I129" s="100">
        <v>37.182919997682774</v>
      </c>
    </row>
    <row r="130" spans="1:9" x14ac:dyDescent="0.2">
      <c r="A130" s="204"/>
      <c r="B130" s="205" t="s">
        <v>395</v>
      </c>
      <c r="C130" s="202">
        <v>5700</v>
      </c>
      <c r="D130" s="207">
        <v>0</v>
      </c>
      <c r="E130" s="99">
        <v>0</v>
      </c>
      <c r="F130" s="99">
        <v>0</v>
      </c>
      <c r="G130" s="99">
        <v>0</v>
      </c>
      <c r="H130" s="99">
        <v>0</v>
      </c>
      <c r="I130" s="100">
        <v>0</v>
      </c>
    </row>
    <row r="131" spans="1:9" x14ac:dyDescent="0.2">
      <c r="A131" s="204"/>
      <c r="B131" s="205" t="s">
        <v>396</v>
      </c>
      <c r="C131" s="202">
        <v>5800</v>
      </c>
      <c r="D131" s="207">
        <v>0</v>
      </c>
      <c r="E131" s="99">
        <v>0</v>
      </c>
      <c r="F131" s="99">
        <v>0</v>
      </c>
      <c r="G131" s="99">
        <v>0</v>
      </c>
      <c r="H131" s="99">
        <v>0</v>
      </c>
      <c r="I131" s="100">
        <v>0</v>
      </c>
    </row>
    <row r="132" spans="1:9" x14ac:dyDescent="0.2">
      <c r="A132" s="204"/>
      <c r="B132" s="205" t="s">
        <v>397</v>
      </c>
      <c r="C132" s="202">
        <v>5900</v>
      </c>
      <c r="D132" s="207">
        <v>0</v>
      </c>
      <c r="E132" s="99">
        <v>14194021.140000001</v>
      </c>
      <c r="F132" s="99">
        <v>14194021.140000001</v>
      </c>
      <c r="G132" s="99">
        <v>2300931.1800000002</v>
      </c>
      <c r="H132" s="99">
        <v>2055260</v>
      </c>
      <c r="I132" s="100">
        <v>0</v>
      </c>
    </row>
    <row r="133" spans="1:9" x14ac:dyDescent="0.2">
      <c r="A133" s="379" t="s">
        <v>398</v>
      </c>
      <c r="B133" s="380"/>
      <c r="C133" s="202">
        <v>18600</v>
      </c>
      <c r="D133" s="203">
        <v>2193135969</v>
      </c>
      <c r="E133" s="203">
        <v>168928873.74000001</v>
      </c>
      <c r="F133" s="203">
        <v>2362064842.7400002</v>
      </c>
      <c r="G133" s="203">
        <v>501981812.24000001</v>
      </c>
      <c r="H133" s="203">
        <v>476114499.56999999</v>
      </c>
      <c r="I133" s="100">
        <v>22.888768381692618</v>
      </c>
    </row>
    <row r="134" spans="1:9" x14ac:dyDescent="0.2">
      <c r="A134" s="204"/>
      <c r="B134" s="205" t="s">
        <v>399</v>
      </c>
      <c r="C134" s="202">
        <v>6100</v>
      </c>
      <c r="D134" s="207">
        <v>1729956911</v>
      </c>
      <c r="E134" s="99">
        <v>461964634.36000001</v>
      </c>
      <c r="F134" s="99">
        <v>2191921545.3600001</v>
      </c>
      <c r="G134" s="99">
        <v>456866115.75</v>
      </c>
      <c r="H134" s="99">
        <v>430998803.07999998</v>
      </c>
      <c r="I134" s="100">
        <v>26.409103766978159</v>
      </c>
    </row>
    <row r="135" spans="1:9" x14ac:dyDescent="0.2">
      <c r="A135" s="204"/>
      <c r="B135" s="205" t="s">
        <v>400</v>
      </c>
      <c r="C135" s="202">
        <v>6200</v>
      </c>
      <c r="D135" s="207">
        <v>463179058</v>
      </c>
      <c r="E135" s="99">
        <v>-293035760.62</v>
      </c>
      <c r="F135" s="99">
        <v>170143297.38</v>
      </c>
      <c r="G135" s="99">
        <v>45115696.490000002</v>
      </c>
      <c r="H135" s="99">
        <v>45115696.490000002</v>
      </c>
      <c r="I135" s="100">
        <v>9.7404439407966503</v>
      </c>
    </row>
    <row r="136" spans="1:9" x14ac:dyDescent="0.2">
      <c r="A136" s="204"/>
      <c r="B136" s="205" t="s">
        <v>401</v>
      </c>
      <c r="C136" s="202">
        <v>6300</v>
      </c>
      <c r="D136" s="207">
        <v>0</v>
      </c>
      <c r="E136" s="99">
        <v>0</v>
      </c>
      <c r="F136" s="99">
        <v>0</v>
      </c>
      <c r="G136" s="99">
        <v>0</v>
      </c>
      <c r="H136" s="99">
        <v>0</v>
      </c>
      <c r="I136" s="100">
        <v>0</v>
      </c>
    </row>
    <row r="137" spans="1:9" ht="18" customHeight="1" x14ac:dyDescent="0.2">
      <c r="A137" s="383" t="s">
        <v>402</v>
      </c>
      <c r="B137" s="384"/>
      <c r="C137" s="202">
        <v>52000</v>
      </c>
      <c r="D137" s="203">
        <v>247937665</v>
      </c>
      <c r="E137" s="203">
        <v>-229411878</v>
      </c>
      <c r="F137" s="203">
        <v>18525787</v>
      </c>
      <c r="G137" s="99">
        <v>0</v>
      </c>
      <c r="H137" s="99">
        <v>0</v>
      </c>
      <c r="I137" s="100">
        <v>0</v>
      </c>
    </row>
    <row r="138" spans="1:9" ht="18" x14ac:dyDescent="0.2">
      <c r="A138" s="204"/>
      <c r="B138" s="205" t="s">
        <v>403</v>
      </c>
      <c r="C138" s="202">
        <v>7100</v>
      </c>
      <c r="D138" s="207">
        <v>0</v>
      </c>
      <c r="E138" s="99">
        <v>0</v>
      </c>
      <c r="F138" s="99">
        <v>0</v>
      </c>
      <c r="G138" s="99">
        <v>0</v>
      </c>
      <c r="H138" s="99">
        <v>0</v>
      </c>
      <c r="I138" s="100">
        <v>0</v>
      </c>
    </row>
    <row r="139" spans="1:9" x14ac:dyDescent="0.2">
      <c r="A139" s="204"/>
      <c r="B139" s="205" t="s">
        <v>404</v>
      </c>
      <c r="C139" s="202">
        <v>7200</v>
      </c>
      <c r="D139" s="207">
        <v>0</v>
      </c>
      <c r="E139" s="99">
        <v>0</v>
      </c>
      <c r="F139" s="99">
        <v>0</v>
      </c>
      <c r="G139" s="99">
        <v>0</v>
      </c>
      <c r="H139" s="99">
        <v>0</v>
      </c>
      <c r="I139" s="100">
        <v>0</v>
      </c>
    </row>
    <row r="140" spans="1:9" x14ac:dyDescent="0.2">
      <c r="A140" s="204"/>
      <c r="B140" s="205" t="s">
        <v>405</v>
      </c>
      <c r="C140" s="202">
        <v>7300</v>
      </c>
      <c r="D140" s="207">
        <v>0</v>
      </c>
      <c r="E140" s="99">
        <v>0</v>
      </c>
      <c r="F140" s="99">
        <v>0</v>
      </c>
      <c r="G140" s="99">
        <v>0</v>
      </c>
      <c r="H140" s="99">
        <v>0</v>
      </c>
      <c r="I140" s="100">
        <v>0</v>
      </c>
    </row>
    <row r="141" spans="1:9" x14ac:dyDescent="0.2">
      <c r="A141" s="204"/>
      <c r="B141" s="205" t="s">
        <v>406</v>
      </c>
      <c r="C141" s="202">
        <v>7400</v>
      </c>
      <c r="D141" s="207">
        <v>0</v>
      </c>
      <c r="E141" s="99">
        <v>0</v>
      </c>
      <c r="F141" s="99">
        <v>0</v>
      </c>
      <c r="G141" s="99">
        <v>0</v>
      </c>
      <c r="H141" s="99">
        <v>0</v>
      </c>
      <c r="I141" s="100">
        <v>0</v>
      </c>
    </row>
    <row r="142" spans="1:9" ht="18" x14ac:dyDescent="0.2">
      <c r="A142" s="204"/>
      <c r="B142" s="205" t="s">
        <v>407</v>
      </c>
      <c r="C142" s="202">
        <v>7500</v>
      </c>
      <c r="D142" s="207">
        <v>0</v>
      </c>
      <c r="E142" s="99">
        <v>0</v>
      </c>
      <c r="F142" s="99">
        <v>0</v>
      </c>
      <c r="G142" s="99">
        <v>0</v>
      </c>
      <c r="H142" s="99">
        <v>0</v>
      </c>
      <c r="I142" s="100">
        <v>0</v>
      </c>
    </row>
    <row r="143" spans="1:9" x14ac:dyDescent="0.2">
      <c r="A143" s="204"/>
      <c r="B143" s="205" t="s">
        <v>408</v>
      </c>
      <c r="C143" s="202"/>
      <c r="D143" s="207"/>
      <c r="E143" s="99"/>
      <c r="F143" s="99"/>
      <c r="G143" s="99"/>
      <c r="H143" s="99"/>
      <c r="I143" s="100"/>
    </row>
    <row r="144" spans="1:9" x14ac:dyDescent="0.2">
      <c r="A144" s="204"/>
      <c r="B144" s="205" t="s">
        <v>409</v>
      </c>
      <c r="C144" s="202">
        <v>7600</v>
      </c>
      <c r="D144" s="207">
        <v>0</v>
      </c>
      <c r="E144" s="99">
        <v>0</v>
      </c>
      <c r="F144" s="99">
        <v>0</v>
      </c>
      <c r="G144" s="99">
        <v>0</v>
      </c>
      <c r="H144" s="99">
        <v>0</v>
      </c>
      <c r="I144" s="100"/>
    </row>
    <row r="145" spans="1:9" ht="18" x14ac:dyDescent="0.2">
      <c r="A145" s="204"/>
      <c r="B145" s="205" t="s">
        <v>410</v>
      </c>
      <c r="C145" s="202">
        <v>7900</v>
      </c>
      <c r="D145" s="207">
        <v>247937665</v>
      </c>
      <c r="E145" s="99">
        <v>-229411878</v>
      </c>
      <c r="F145" s="99">
        <v>18525787</v>
      </c>
      <c r="G145" s="99">
        <v>0</v>
      </c>
      <c r="H145" s="99">
        <v>0</v>
      </c>
      <c r="I145" s="100">
        <v>0</v>
      </c>
    </row>
    <row r="146" spans="1:9" x14ac:dyDescent="0.2">
      <c r="A146" s="379" t="s">
        <v>411</v>
      </c>
      <c r="B146" s="380"/>
      <c r="C146" s="202">
        <v>24900</v>
      </c>
      <c r="D146" s="203">
        <v>3070970234</v>
      </c>
      <c r="E146" s="203">
        <v>799367.27</v>
      </c>
      <c r="F146" s="203">
        <v>3071769601.27</v>
      </c>
      <c r="G146" s="203">
        <v>1444586471.21</v>
      </c>
      <c r="H146" s="203">
        <v>1360526126.96</v>
      </c>
      <c r="I146" s="100">
        <v>47.040067507538076</v>
      </c>
    </row>
    <row r="147" spans="1:9" x14ac:dyDescent="0.2">
      <c r="A147" s="204"/>
      <c r="B147" s="205" t="s">
        <v>412</v>
      </c>
      <c r="C147" s="202">
        <v>8100</v>
      </c>
      <c r="D147" s="207">
        <v>0</v>
      </c>
      <c r="E147" s="99">
        <v>0</v>
      </c>
      <c r="F147" s="99">
        <v>0</v>
      </c>
      <c r="G147" s="99">
        <v>0</v>
      </c>
      <c r="H147" s="99">
        <v>0</v>
      </c>
      <c r="I147" s="100">
        <v>0</v>
      </c>
    </row>
    <row r="148" spans="1:9" x14ac:dyDescent="0.2">
      <c r="A148" s="204"/>
      <c r="B148" s="205" t="s">
        <v>413</v>
      </c>
      <c r="C148" s="202">
        <v>8300</v>
      </c>
      <c r="D148" s="207">
        <v>2173695973</v>
      </c>
      <c r="E148" s="99">
        <v>498500.9</v>
      </c>
      <c r="F148" s="99">
        <v>2174194473.9000001</v>
      </c>
      <c r="G148" s="99">
        <v>1140580139.96</v>
      </c>
      <c r="H148" s="99">
        <v>1140081639.0599999</v>
      </c>
      <c r="I148" s="100">
        <v>52.471925886941875</v>
      </c>
    </row>
    <row r="149" spans="1:9" x14ac:dyDescent="0.2">
      <c r="A149" s="204"/>
      <c r="B149" s="205" t="s">
        <v>414</v>
      </c>
      <c r="C149" s="202">
        <v>8500</v>
      </c>
      <c r="D149" s="207">
        <v>897274261</v>
      </c>
      <c r="E149" s="99">
        <v>300866.37</v>
      </c>
      <c r="F149" s="99">
        <v>897575127.37</v>
      </c>
      <c r="G149" s="99">
        <v>304006331.25</v>
      </c>
      <c r="H149" s="99">
        <v>220444487.90000001</v>
      </c>
      <c r="I149" s="100">
        <v>33.881093492104533</v>
      </c>
    </row>
    <row r="150" spans="1:9" x14ac:dyDescent="0.2">
      <c r="A150" s="379" t="s">
        <v>415</v>
      </c>
      <c r="B150" s="380"/>
      <c r="C150" s="202">
        <v>66000</v>
      </c>
      <c r="D150" s="203">
        <v>154130503</v>
      </c>
      <c r="E150" s="203">
        <v>235867531.24000001</v>
      </c>
      <c r="F150" s="203">
        <v>389998034.24000001</v>
      </c>
      <c r="G150" s="203">
        <v>389296595.75</v>
      </c>
      <c r="H150" s="203">
        <v>389296274.65999997</v>
      </c>
      <c r="I150" s="100">
        <v>252.57595879642332</v>
      </c>
    </row>
    <row r="151" spans="1:9" x14ac:dyDescent="0.2">
      <c r="A151" s="204"/>
      <c r="B151" s="205" t="s">
        <v>416</v>
      </c>
      <c r="C151" s="202">
        <v>9100</v>
      </c>
      <c r="D151" s="207">
        <v>80025096</v>
      </c>
      <c r="E151" s="99">
        <v>69974904</v>
      </c>
      <c r="F151" s="99">
        <v>150000000</v>
      </c>
      <c r="G151" s="99">
        <v>150000000</v>
      </c>
      <c r="H151" s="99">
        <v>150000000</v>
      </c>
      <c r="I151" s="100">
        <v>187.44119969565546</v>
      </c>
    </row>
    <row r="152" spans="1:9" x14ac:dyDescent="0.2">
      <c r="A152" s="204"/>
      <c r="B152" s="205" t="s">
        <v>417</v>
      </c>
      <c r="C152" s="202">
        <v>9200</v>
      </c>
      <c r="D152" s="207">
        <v>74105407</v>
      </c>
      <c r="E152" s="99">
        <v>-74105407</v>
      </c>
      <c r="F152" s="99">
        <v>0</v>
      </c>
      <c r="G152" s="99">
        <v>0</v>
      </c>
      <c r="H152" s="99">
        <v>0</v>
      </c>
      <c r="I152" s="100">
        <v>0</v>
      </c>
    </row>
    <row r="153" spans="1:9" x14ac:dyDescent="0.2">
      <c r="A153" s="204"/>
      <c r="B153" s="205" t="s">
        <v>418</v>
      </c>
      <c r="C153" s="202">
        <v>9300</v>
      </c>
      <c r="D153" s="207">
        <v>0</v>
      </c>
      <c r="E153" s="99">
        <v>0</v>
      </c>
      <c r="F153" s="99">
        <v>0</v>
      </c>
      <c r="G153" s="99">
        <v>0</v>
      </c>
      <c r="H153" s="99">
        <v>0</v>
      </c>
      <c r="I153" s="100">
        <v>0</v>
      </c>
    </row>
    <row r="154" spans="1:9" x14ac:dyDescent="0.2">
      <c r="A154" s="204"/>
      <c r="B154" s="205" t="s">
        <v>419</v>
      </c>
      <c r="C154" s="202">
        <v>9400</v>
      </c>
      <c r="D154" s="207">
        <v>0</v>
      </c>
      <c r="E154" s="99">
        <v>0</v>
      </c>
      <c r="F154" s="99">
        <v>0</v>
      </c>
      <c r="G154" s="99">
        <v>0</v>
      </c>
      <c r="H154" s="99">
        <v>0</v>
      </c>
      <c r="I154" s="100">
        <v>0</v>
      </c>
    </row>
    <row r="155" spans="1:9" x14ac:dyDescent="0.2">
      <c r="A155" s="204"/>
      <c r="B155" s="205" t="s">
        <v>420</v>
      </c>
      <c r="C155" s="202">
        <v>9500</v>
      </c>
      <c r="D155" s="207">
        <v>0</v>
      </c>
      <c r="E155" s="99">
        <v>0</v>
      </c>
      <c r="F155" s="99">
        <v>0</v>
      </c>
      <c r="G155" s="99">
        <v>0</v>
      </c>
      <c r="H155" s="99">
        <v>0</v>
      </c>
      <c r="I155" s="100">
        <v>0</v>
      </c>
    </row>
    <row r="156" spans="1:9" x14ac:dyDescent="0.2">
      <c r="A156" s="204"/>
      <c r="B156" s="205" t="s">
        <v>421</v>
      </c>
      <c r="C156" s="202">
        <v>9600</v>
      </c>
      <c r="D156" s="207">
        <v>0</v>
      </c>
      <c r="E156" s="99">
        <v>0</v>
      </c>
      <c r="F156" s="99">
        <v>0</v>
      </c>
      <c r="G156" s="99">
        <v>0</v>
      </c>
      <c r="H156" s="99">
        <v>0</v>
      </c>
      <c r="I156" s="100">
        <v>0</v>
      </c>
    </row>
    <row r="157" spans="1:9" x14ac:dyDescent="0.2">
      <c r="A157" s="204"/>
      <c r="B157" s="205" t="s">
        <v>422</v>
      </c>
      <c r="C157" s="202">
        <v>9900</v>
      </c>
      <c r="D157" s="207">
        <v>0</v>
      </c>
      <c r="E157" s="99">
        <v>239998034.24000001</v>
      </c>
      <c r="F157" s="99">
        <v>239998034.24000001</v>
      </c>
      <c r="G157" s="99">
        <v>239296595.75</v>
      </c>
      <c r="H157" s="99">
        <v>239296274.66</v>
      </c>
      <c r="I157" s="100">
        <v>0</v>
      </c>
    </row>
    <row r="158" spans="1:9" x14ac:dyDescent="0.2">
      <c r="A158" s="204"/>
      <c r="B158" s="205"/>
      <c r="C158" s="210"/>
      <c r="D158" s="207"/>
      <c r="E158" s="99"/>
      <c r="F158" s="99"/>
      <c r="G158" s="99"/>
      <c r="H158" s="99"/>
      <c r="I158" s="100"/>
    </row>
    <row r="159" spans="1:9" x14ac:dyDescent="0.2">
      <c r="A159" s="381" t="s">
        <v>180</v>
      </c>
      <c r="B159" s="382"/>
      <c r="C159" s="211">
        <v>630600</v>
      </c>
      <c r="D159" s="212">
        <v>56451879944</v>
      </c>
      <c r="E159" s="212">
        <v>6003561251.6900005</v>
      </c>
      <c r="F159" s="212">
        <v>62455441195.690018</v>
      </c>
      <c r="G159" s="212">
        <v>32634915026.810001</v>
      </c>
      <c r="H159" s="212">
        <v>31284229371.200001</v>
      </c>
      <c r="I159" s="213">
        <v>57.810147437399216</v>
      </c>
    </row>
    <row r="160" spans="1:9" ht="13.5" thickBot="1" x14ac:dyDescent="0.25">
      <c r="A160" s="214"/>
      <c r="B160" s="215"/>
      <c r="C160" s="216"/>
      <c r="D160" s="217"/>
      <c r="E160" s="218"/>
      <c r="F160" s="218"/>
      <c r="G160" s="218"/>
      <c r="H160" s="218"/>
      <c r="I160" s="219"/>
    </row>
    <row r="164" spans="5:5" x14ac:dyDescent="0.2">
      <c r="E164" s="172"/>
    </row>
  </sheetData>
  <mergeCells count="31">
    <mergeCell ref="A2:I2"/>
    <mergeCell ref="A3:I3"/>
    <mergeCell ref="A4:I4"/>
    <mergeCell ref="A5:I5"/>
    <mergeCell ref="J5:K9"/>
    <mergeCell ref="A6:I6"/>
    <mergeCell ref="A7:B8"/>
    <mergeCell ref="D7:H7"/>
    <mergeCell ref="I7:I8"/>
    <mergeCell ref="A9:B9"/>
    <mergeCell ref="A85:B85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146:B146"/>
    <mergeCell ref="A150:B150"/>
    <mergeCell ref="A159:B159"/>
    <mergeCell ref="A93:B93"/>
    <mergeCell ref="A103:B103"/>
    <mergeCell ref="A113:B113"/>
    <mergeCell ref="A123:B123"/>
    <mergeCell ref="A133:B133"/>
    <mergeCell ref="A137:B137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O18" sqref="O18"/>
    </sheetView>
  </sheetViews>
  <sheetFormatPr baseColWidth="10" defaultRowHeight="12.75" x14ac:dyDescent="0.2"/>
  <cols>
    <col min="1" max="1" width="3.42578125" customWidth="1"/>
    <col min="2" max="2" width="31" customWidth="1"/>
    <col min="3" max="3" width="14.42578125" bestFit="1" customWidth="1"/>
    <col min="4" max="4" width="13.28515625" bestFit="1" customWidth="1"/>
    <col min="5" max="7" width="14.42578125" bestFit="1" customWidth="1"/>
    <col min="8" max="8" width="7.28515625" bestFit="1" customWidth="1"/>
  </cols>
  <sheetData>
    <row r="1" spans="1:8" ht="15" x14ac:dyDescent="0.2">
      <c r="A1" s="404" t="s">
        <v>0</v>
      </c>
      <c r="B1" s="405"/>
      <c r="C1" s="405"/>
      <c r="D1" s="405"/>
      <c r="E1" s="405"/>
      <c r="F1" s="405"/>
      <c r="G1" s="405"/>
      <c r="H1" s="406"/>
    </row>
    <row r="2" spans="1:8" x14ac:dyDescent="0.2">
      <c r="A2" s="407" t="s">
        <v>138</v>
      </c>
      <c r="B2" s="408"/>
      <c r="C2" s="408"/>
      <c r="D2" s="408"/>
      <c r="E2" s="408"/>
      <c r="F2" s="408"/>
      <c r="G2" s="408"/>
      <c r="H2" s="409"/>
    </row>
    <row r="3" spans="1:8" x14ac:dyDescent="0.2">
      <c r="A3" s="407" t="s">
        <v>424</v>
      </c>
      <c r="B3" s="408"/>
      <c r="C3" s="408"/>
      <c r="D3" s="408"/>
      <c r="E3" s="408"/>
      <c r="F3" s="408"/>
      <c r="G3" s="408"/>
      <c r="H3" s="409"/>
    </row>
    <row r="4" spans="1:8" x14ac:dyDescent="0.2">
      <c r="A4" s="410" t="s">
        <v>425</v>
      </c>
      <c r="B4" s="408"/>
      <c r="C4" s="408"/>
      <c r="D4" s="408"/>
      <c r="E4" s="408"/>
      <c r="F4" s="408"/>
      <c r="G4" s="408"/>
      <c r="H4" s="409"/>
    </row>
    <row r="5" spans="1:8" x14ac:dyDescent="0.2">
      <c r="A5" s="411" t="s">
        <v>426</v>
      </c>
      <c r="B5" s="412"/>
      <c r="C5" s="412"/>
      <c r="D5" s="412"/>
      <c r="E5" s="412"/>
      <c r="F5" s="412"/>
      <c r="G5" s="412"/>
      <c r="H5" s="413"/>
    </row>
    <row r="6" spans="1:8" x14ac:dyDescent="0.2">
      <c r="A6" s="414" t="s">
        <v>427</v>
      </c>
      <c r="B6" s="414"/>
      <c r="C6" s="415" t="s">
        <v>3</v>
      </c>
      <c r="D6" s="415"/>
      <c r="E6" s="415"/>
      <c r="F6" s="415"/>
      <c r="G6" s="415"/>
      <c r="H6" s="415"/>
    </row>
    <row r="7" spans="1:8" ht="22.5" x14ac:dyDescent="0.2">
      <c r="A7" s="414"/>
      <c r="B7" s="414"/>
      <c r="C7" s="220" t="s">
        <v>4</v>
      </c>
      <c r="D7" s="220" t="s">
        <v>216</v>
      </c>
      <c r="E7" s="220" t="s">
        <v>6</v>
      </c>
      <c r="F7" s="220" t="s">
        <v>7</v>
      </c>
      <c r="G7" s="220" t="s">
        <v>8</v>
      </c>
      <c r="H7" s="220" t="s">
        <v>428</v>
      </c>
    </row>
    <row r="8" spans="1:8" x14ac:dyDescent="0.2">
      <c r="A8" s="221" t="s">
        <v>429</v>
      </c>
      <c r="B8" s="222" t="s">
        <v>430</v>
      </c>
      <c r="C8" s="223">
        <v>12698977143.999981</v>
      </c>
      <c r="D8" s="223">
        <v>-128983101.56999005</v>
      </c>
      <c r="E8" s="223">
        <v>12569994042.429991</v>
      </c>
      <c r="F8" s="223">
        <v>5953944567.2200031</v>
      </c>
      <c r="G8" s="223">
        <v>5811274112.6800041</v>
      </c>
      <c r="H8" s="224">
        <v>46.885229414190462</v>
      </c>
    </row>
    <row r="9" spans="1:8" ht="22.5" x14ac:dyDescent="0.2">
      <c r="A9" s="225" t="s">
        <v>431</v>
      </c>
      <c r="B9" s="226" t="s">
        <v>432</v>
      </c>
      <c r="C9" s="227">
        <v>4708256341.4799814</v>
      </c>
      <c r="D9" s="227">
        <v>-64507608.189989127</v>
      </c>
      <c r="E9" s="227">
        <v>4643748733.2899923</v>
      </c>
      <c r="F9" s="227">
        <v>2132290716.2400036</v>
      </c>
      <c r="G9" s="227">
        <v>2089514344.3200033</v>
      </c>
      <c r="H9" s="228">
        <v>45.28833099961895</v>
      </c>
    </row>
    <row r="10" spans="1:8" x14ac:dyDescent="0.2">
      <c r="A10" s="225"/>
      <c r="B10" s="226"/>
      <c r="C10" s="227"/>
      <c r="D10" s="227"/>
      <c r="E10" s="227"/>
      <c r="F10" s="227"/>
      <c r="G10" s="227"/>
      <c r="H10" s="228"/>
    </row>
    <row r="11" spans="1:8" x14ac:dyDescent="0.2">
      <c r="A11" s="225" t="s">
        <v>433</v>
      </c>
      <c r="B11" s="226" t="s">
        <v>434</v>
      </c>
      <c r="C11" s="227">
        <v>5343521401.2399988</v>
      </c>
      <c r="D11" s="227">
        <v>-72690971.22999993</v>
      </c>
      <c r="E11" s="227">
        <v>5270830430.0099993</v>
      </c>
      <c r="F11" s="227">
        <v>2594945057.5499997</v>
      </c>
      <c r="G11" s="227">
        <v>2529362809.2400002</v>
      </c>
      <c r="H11" s="228">
        <v>48.56245278530794</v>
      </c>
    </row>
    <row r="12" spans="1:8" x14ac:dyDescent="0.2">
      <c r="A12" s="225"/>
      <c r="B12" s="226"/>
      <c r="C12" s="227"/>
      <c r="D12" s="227"/>
      <c r="E12" s="227"/>
      <c r="F12" s="227"/>
      <c r="G12" s="227"/>
      <c r="H12" s="228"/>
    </row>
    <row r="13" spans="1:8" x14ac:dyDescent="0.2">
      <c r="A13" s="225" t="s">
        <v>435</v>
      </c>
      <c r="B13" s="226" t="s">
        <v>436</v>
      </c>
      <c r="C13" s="227">
        <v>774120952.04000008</v>
      </c>
      <c r="D13" s="227">
        <v>-40801402.310000062</v>
      </c>
      <c r="E13" s="227">
        <v>733319549.73000002</v>
      </c>
      <c r="F13" s="227">
        <v>350714589.25000006</v>
      </c>
      <c r="G13" s="227">
        <v>341609619.61000001</v>
      </c>
      <c r="H13" s="228">
        <v>45.304882696402984</v>
      </c>
    </row>
    <row r="14" spans="1:8" x14ac:dyDescent="0.2">
      <c r="A14" s="225"/>
      <c r="B14" s="226" t="s">
        <v>437</v>
      </c>
      <c r="C14" s="227"/>
      <c r="D14" s="227"/>
      <c r="E14" s="227"/>
      <c r="F14" s="227"/>
      <c r="G14" s="227"/>
      <c r="H14" s="228"/>
    </row>
    <row r="15" spans="1:8" x14ac:dyDescent="0.2">
      <c r="A15" s="225"/>
      <c r="B15" s="226" t="s">
        <v>438</v>
      </c>
      <c r="C15" s="227"/>
      <c r="D15" s="227"/>
      <c r="E15" s="227"/>
      <c r="F15" s="227"/>
      <c r="G15" s="227"/>
      <c r="H15" s="228"/>
    </row>
    <row r="16" spans="1:8" x14ac:dyDescent="0.2">
      <c r="A16" s="225"/>
      <c r="B16" s="226"/>
      <c r="C16" s="227"/>
      <c r="D16" s="227"/>
      <c r="E16" s="227"/>
      <c r="F16" s="227"/>
      <c r="G16" s="227"/>
      <c r="H16" s="228"/>
    </row>
    <row r="17" spans="1:8" x14ac:dyDescent="0.2">
      <c r="A17" s="225" t="s">
        <v>439</v>
      </c>
      <c r="B17" s="226" t="s">
        <v>440</v>
      </c>
      <c r="C17" s="227">
        <v>1873078449.2400007</v>
      </c>
      <c r="D17" s="227">
        <v>31444373.549999073</v>
      </c>
      <c r="E17" s="227">
        <v>1904522822.7899997</v>
      </c>
      <c r="F17" s="227">
        <v>858421697.57000089</v>
      </c>
      <c r="G17" s="227">
        <v>833214832.90000129</v>
      </c>
      <c r="H17" s="228">
        <v>45.829457806121496</v>
      </c>
    </row>
    <row r="18" spans="1:8" x14ac:dyDescent="0.2">
      <c r="A18" s="225"/>
      <c r="B18" s="226"/>
      <c r="C18" s="227"/>
      <c r="D18" s="227"/>
      <c r="E18" s="227"/>
      <c r="F18" s="227"/>
      <c r="G18" s="227"/>
      <c r="H18" s="228"/>
    </row>
    <row r="19" spans="1:8" ht="33.75" x14ac:dyDescent="0.2">
      <c r="A19" s="225" t="s">
        <v>441</v>
      </c>
      <c r="B19" s="226" t="s">
        <v>442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8">
        <v>0</v>
      </c>
    </row>
    <row r="20" spans="1:8" x14ac:dyDescent="0.2">
      <c r="A20" s="225"/>
      <c r="B20" s="226" t="s">
        <v>443</v>
      </c>
      <c r="C20" s="227"/>
      <c r="D20" s="227"/>
      <c r="E20" s="227"/>
      <c r="F20" s="227"/>
      <c r="G20" s="227"/>
      <c r="H20" s="228"/>
    </row>
    <row r="21" spans="1:8" x14ac:dyDescent="0.2">
      <c r="A21" s="225"/>
      <c r="B21" s="226"/>
      <c r="C21" s="227"/>
      <c r="D21" s="227"/>
      <c r="E21" s="227"/>
      <c r="F21" s="227"/>
      <c r="G21" s="227"/>
      <c r="H21" s="228"/>
    </row>
    <row r="22" spans="1:8" ht="22.5" x14ac:dyDescent="0.2">
      <c r="A22" s="225"/>
      <c r="B22" s="226" t="s">
        <v>444</v>
      </c>
      <c r="C22" s="227"/>
      <c r="D22" s="227">
        <v>0</v>
      </c>
      <c r="E22" s="227">
        <v>0</v>
      </c>
      <c r="F22" s="227">
        <v>0</v>
      </c>
      <c r="G22" s="227">
        <v>0</v>
      </c>
      <c r="H22" s="228">
        <v>0</v>
      </c>
    </row>
    <row r="23" spans="1:8" x14ac:dyDescent="0.2">
      <c r="A23" s="225"/>
      <c r="B23" s="226" t="s">
        <v>445</v>
      </c>
      <c r="C23" s="227"/>
      <c r="D23" s="227"/>
      <c r="E23" s="227"/>
      <c r="F23" s="227"/>
      <c r="G23" s="227"/>
      <c r="H23" s="228"/>
    </row>
    <row r="24" spans="1:8" x14ac:dyDescent="0.2">
      <c r="A24" s="225"/>
      <c r="B24" s="226"/>
      <c r="C24" s="227"/>
      <c r="D24" s="227"/>
      <c r="E24" s="227"/>
      <c r="F24" s="227"/>
      <c r="G24" s="229"/>
      <c r="H24" s="228"/>
    </row>
    <row r="25" spans="1:8" x14ac:dyDescent="0.2">
      <c r="A25" s="225" t="s">
        <v>446</v>
      </c>
      <c r="B25" s="226" t="s">
        <v>447</v>
      </c>
      <c r="C25" s="227"/>
      <c r="D25" s="227">
        <v>17572506.609999999</v>
      </c>
      <c r="E25" s="227">
        <v>17572506.609999999</v>
      </c>
      <c r="F25" s="227">
        <v>17572506.609999999</v>
      </c>
      <c r="G25" s="227">
        <v>17572506.609999999</v>
      </c>
      <c r="H25" s="228">
        <v>100</v>
      </c>
    </row>
    <row r="26" spans="1:8" x14ac:dyDescent="0.2">
      <c r="A26" s="225"/>
      <c r="B26" s="226"/>
      <c r="C26" s="227"/>
      <c r="D26" s="227"/>
      <c r="E26" s="227"/>
      <c r="F26" s="227"/>
      <c r="G26" s="227"/>
      <c r="H26" s="228"/>
    </row>
    <row r="27" spans="1:8" x14ac:dyDescent="0.2">
      <c r="A27" s="225"/>
      <c r="B27" s="226"/>
      <c r="C27" s="227"/>
      <c r="D27" s="227"/>
      <c r="E27" s="227"/>
      <c r="F27" s="227"/>
      <c r="G27" s="227"/>
      <c r="H27" s="228"/>
    </row>
    <row r="28" spans="1:8" x14ac:dyDescent="0.2">
      <c r="A28" s="230" t="s">
        <v>448</v>
      </c>
      <c r="B28" s="231" t="s">
        <v>449</v>
      </c>
      <c r="C28" s="232">
        <v>11305045164.000002</v>
      </c>
      <c r="D28" s="232">
        <v>-289663508.03999996</v>
      </c>
      <c r="E28" s="232">
        <v>11015381655.960001</v>
      </c>
      <c r="F28" s="232">
        <v>5602410469.4899998</v>
      </c>
      <c r="G28" s="232">
        <v>5535167042.6499996</v>
      </c>
      <c r="H28" s="233">
        <v>49.556727887566701</v>
      </c>
    </row>
    <row r="29" spans="1:8" ht="22.5" x14ac:dyDescent="0.2">
      <c r="A29" s="225" t="s">
        <v>431</v>
      </c>
      <c r="B29" s="226" t="s">
        <v>432</v>
      </c>
      <c r="C29" s="227">
        <v>514576078.51999992</v>
      </c>
      <c r="D29" s="227">
        <v>49068814.610000551</v>
      </c>
      <c r="E29" s="227">
        <v>563644893.13000047</v>
      </c>
      <c r="F29" s="227">
        <v>347185924.16999966</v>
      </c>
      <c r="G29" s="227">
        <v>331796196.91999972</v>
      </c>
      <c r="H29" s="228">
        <v>67.470280617894218</v>
      </c>
    </row>
    <row r="30" spans="1:8" x14ac:dyDescent="0.2">
      <c r="A30" s="225"/>
      <c r="B30" s="226"/>
      <c r="C30" s="227"/>
      <c r="D30" s="227"/>
      <c r="E30" s="227"/>
      <c r="F30" s="227"/>
      <c r="G30" s="227"/>
      <c r="H30" s="228"/>
    </row>
    <row r="31" spans="1:8" x14ac:dyDescent="0.2">
      <c r="A31" s="225" t="s">
        <v>433</v>
      </c>
      <c r="B31" s="226" t="s">
        <v>434</v>
      </c>
      <c r="C31" s="227">
        <v>8683824127.7600002</v>
      </c>
      <c r="D31" s="227">
        <v>-56567921.440000534</v>
      </c>
      <c r="E31" s="227">
        <v>8627256206.3199997</v>
      </c>
      <c r="F31" s="227">
        <v>4366092867.75</v>
      </c>
      <c r="G31" s="227">
        <v>4332995660.25</v>
      </c>
      <c r="H31" s="228">
        <v>50.278458010137491</v>
      </c>
    </row>
    <row r="32" spans="1:8" x14ac:dyDescent="0.2">
      <c r="A32" s="225"/>
      <c r="B32" s="226"/>
      <c r="C32" s="227"/>
      <c r="D32" s="227"/>
      <c r="E32" s="227"/>
      <c r="F32" s="227"/>
      <c r="G32" s="227"/>
      <c r="H32" s="228"/>
    </row>
    <row r="33" spans="1:8" x14ac:dyDescent="0.2">
      <c r="A33" s="225" t="s">
        <v>435</v>
      </c>
      <c r="B33" s="226" t="s">
        <v>436</v>
      </c>
      <c r="C33" s="227">
        <v>1935223886.96</v>
      </c>
      <c r="D33" s="227">
        <v>-303725465.76999998</v>
      </c>
      <c r="E33" s="227">
        <v>1631498421.1900001</v>
      </c>
      <c r="F33" s="227">
        <v>781832949.18999994</v>
      </c>
      <c r="G33" s="227">
        <v>777818365.48999989</v>
      </c>
      <c r="H33" s="228">
        <v>40.400129125016321</v>
      </c>
    </row>
    <row r="34" spans="1:8" x14ac:dyDescent="0.2">
      <c r="A34" s="225"/>
      <c r="B34" s="226" t="s">
        <v>437</v>
      </c>
      <c r="C34" s="227"/>
      <c r="D34" s="227"/>
      <c r="E34" s="227"/>
      <c r="F34" s="227"/>
      <c r="G34" s="227"/>
      <c r="H34" s="228"/>
    </row>
    <row r="35" spans="1:8" x14ac:dyDescent="0.2">
      <c r="A35" s="225"/>
      <c r="B35" s="226" t="s">
        <v>438</v>
      </c>
      <c r="C35" s="227"/>
      <c r="D35" s="227"/>
      <c r="E35" s="227"/>
      <c r="F35" s="227"/>
      <c r="G35" s="227"/>
      <c r="H35" s="228"/>
    </row>
    <row r="36" spans="1:8" x14ac:dyDescent="0.2">
      <c r="A36" s="225"/>
      <c r="B36" s="226"/>
      <c r="C36" s="227"/>
      <c r="D36" s="227"/>
      <c r="E36" s="227"/>
      <c r="F36" s="227"/>
      <c r="G36" s="227"/>
      <c r="H36" s="228"/>
    </row>
    <row r="37" spans="1:8" x14ac:dyDescent="0.2">
      <c r="A37" s="225" t="s">
        <v>439</v>
      </c>
      <c r="B37" s="226" t="s">
        <v>440</v>
      </c>
      <c r="C37" s="227">
        <v>171421070.76000002</v>
      </c>
      <c r="D37" s="227">
        <v>21561064.559999973</v>
      </c>
      <c r="E37" s="227">
        <v>192982135.31999999</v>
      </c>
      <c r="F37" s="227">
        <v>107298728.38000003</v>
      </c>
      <c r="G37" s="227">
        <v>92556819.990000039</v>
      </c>
      <c r="H37" s="228">
        <v>62.593663605231356</v>
      </c>
    </row>
    <row r="38" spans="1:8" x14ac:dyDescent="0.2">
      <c r="A38" s="225"/>
      <c r="B38" s="226"/>
      <c r="C38" s="227"/>
      <c r="D38" s="227"/>
      <c r="E38" s="227"/>
      <c r="F38" s="227"/>
      <c r="G38" s="227"/>
      <c r="H38" s="228"/>
    </row>
    <row r="39" spans="1:8" ht="33.75" x14ac:dyDescent="0.2">
      <c r="A39" s="225" t="s">
        <v>441</v>
      </c>
      <c r="B39" s="226" t="s">
        <v>442</v>
      </c>
      <c r="C39" s="227"/>
      <c r="D39" s="227"/>
      <c r="E39" s="227"/>
      <c r="F39" s="227"/>
      <c r="G39" s="227"/>
      <c r="H39" s="228"/>
    </row>
    <row r="40" spans="1:8" x14ac:dyDescent="0.2">
      <c r="A40" s="225"/>
      <c r="B40" s="226" t="s">
        <v>443</v>
      </c>
      <c r="C40" s="227"/>
      <c r="D40" s="227"/>
      <c r="E40" s="227"/>
      <c r="F40" s="227"/>
      <c r="G40" s="227"/>
      <c r="H40" s="228"/>
    </row>
    <row r="41" spans="1:8" x14ac:dyDescent="0.2">
      <c r="A41" s="225"/>
      <c r="B41" s="226"/>
      <c r="C41" s="227"/>
      <c r="D41" s="227"/>
      <c r="E41" s="227"/>
      <c r="F41" s="227"/>
      <c r="G41" s="227"/>
      <c r="H41" s="228"/>
    </row>
    <row r="42" spans="1:8" x14ac:dyDescent="0.2">
      <c r="A42" s="225"/>
      <c r="B42" s="226" t="s">
        <v>450</v>
      </c>
      <c r="C42" s="227"/>
      <c r="D42" s="227"/>
      <c r="E42" s="227"/>
      <c r="F42" s="227"/>
      <c r="G42" s="227"/>
      <c r="H42" s="228"/>
    </row>
    <row r="43" spans="1:8" x14ac:dyDescent="0.2">
      <c r="A43" s="225"/>
      <c r="B43" s="226" t="s">
        <v>451</v>
      </c>
      <c r="C43" s="227"/>
      <c r="D43" s="227"/>
      <c r="E43" s="227"/>
      <c r="F43" s="227"/>
      <c r="G43" s="227"/>
      <c r="H43" s="228"/>
    </row>
    <row r="44" spans="1:8" x14ac:dyDescent="0.2">
      <c r="A44" s="225"/>
      <c r="B44" s="226"/>
      <c r="C44" s="227"/>
      <c r="D44" s="227"/>
      <c r="E44" s="227"/>
      <c r="F44" s="227"/>
      <c r="G44" s="227"/>
      <c r="H44" s="228"/>
    </row>
    <row r="45" spans="1:8" x14ac:dyDescent="0.2">
      <c r="A45" s="225" t="s">
        <v>446</v>
      </c>
      <c r="B45" s="226" t="s">
        <v>447</v>
      </c>
      <c r="C45" s="227"/>
      <c r="D45" s="227"/>
      <c r="E45" s="227"/>
      <c r="F45" s="227"/>
      <c r="G45" s="227"/>
      <c r="H45" s="228"/>
    </row>
    <row r="46" spans="1:8" x14ac:dyDescent="0.2">
      <c r="A46" s="225"/>
      <c r="B46" s="226"/>
      <c r="C46" s="227"/>
      <c r="D46" s="227"/>
      <c r="E46" s="227"/>
      <c r="F46" s="227"/>
      <c r="G46" s="227"/>
      <c r="H46" s="228"/>
    </row>
    <row r="47" spans="1:8" x14ac:dyDescent="0.2">
      <c r="A47" s="225"/>
      <c r="B47" s="226"/>
      <c r="C47" s="227"/>
      <c r="D47" s="227"/>
      <c r="E47" s="227"/>
      <c r="F47" s="227"/>
      <c r="G47" s="227"/>
      <c r="H47" s="228"/>
    </row>
    <row r="48" spans="1:8" x14ac:dyDescent="0.2">
      <c r="A48" s="230" t="s">
        <v>452</v>
      </c>
      <c r="B48" s="231" t="s">
        <v>453</v>
      </c>
      <c r="C48" s="232">
        <v>24004022307.999985</v>
      </c>
      <c r="D48" s="232">
        <v>-418646609.60999</v>
      </c>
      <c r="E48" s="232">
        <v>23585375698.389992</v>
      </c>
      <c r="F48" s="232">
        <v>11556355036.710003</v>
      </c>
      <c r="G48" s="232">
        <v>11346441155.330004</v>
      </c>
      <c r="H48" s="233">
        <v>48.143410668546736</v>
      </c>
    </row>
    <row r="49" spans="1:8" x14ac:dyDescent="0.2">
      <c r="A49" s="234"/>
      <c r="B49" s="235" t="s">
        <v>454</v>
      </c>
      <c r="C49" s="236"/>
      <c r="D49" s="236"/>
      <c r="E49" s="236"/>
      <c r="F49" s="236"/>
      <c r="G49" s="236"/>
      <c r="H49" s="237"/>
    </row>
  </sheetData>
  <mergeCells count="7">
    <mergeCell ref="A6:B7"/>
    <mergeCell ref="C6:H6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7 j 2 + a 3 9 / / P T 0 9 c m r s 5 d v 8 M f e e D t 9 W d X p S Z k 1 x X k x z a b F P / q 3 L t P T a b X 8 R / / W B f 2 d b r 0 p V l U 6 y 9 P P s 6 a t 7 j y + 6 7 / + + N m r L 1 + 8 O X 3 x 9 P f X P n / / s x f P v j x 6 c G 9 n Z 3 x v f H 9 n d 7 z 7 8 F N C M t 7 s 8 Z v f / + n x m + O X r 7 7 8 y b O n p 6 8 I 3 9 e v f v / X v 3 f n w x f H X 5 w e P X 3 5 + 9 P A + F c a 1 U 9 8 d f r 6 D Q 3 k 7 A v 6 6 9 X v / f v / 3 s 9 f / / 7 8 x 9 m X T 7 7 z 4 o u j n 3 r 2 x c n J 8 e f P H t / V D / i L N 7 / 3 m / T u 0 e P X X 3 1 x / O T 5 6 d H v / f i u + f X x 2 e v f / / W b V 1 + d v P n q 1 S n a H P / e Z 6 / x 8 + W X r 8 / e H B H x H x C h + f f H J 9 8 + / s n n v / + p w J I / F D D / g V 9 e f P n 0 9 P e X n v n z r 7 7 4 i j 9 / + f z 0 J 0 + 1 B X X 9 + u g r G p L 8 x g i + f P X 6 x Z u j z w V r + e M x o f X m 9 3 / + k 8 8 J C c L X / P H 4 2 6 9 + n 9 / / + O T N 2 U 8 y u t 8 + O 5 W u l L z 4 l Y h 4 + o Y 4 R B + a N / n g 8 e v f / 8 3 v 8 / L o 9 y J o / A v 9 T b 1 5 J J O / H 4 O i r 4 6 O 8 T d + o b 9 P n 7 / 5 6 u z p L t N Q / 9 j j 3 g X Q t x / f 1 d / w C c H Q 7 x S M / o Z P P E D 2 L 4 H k U + j p 6 d l T D 3 3 9 4 P H J l 8 R G L 1 4 d y a f m L 3 z 8 5 v j s x e v f / / f 6 f Z 7 h / c / P X r 9 5 C f m Q X / D 3 8 Z s 3 r 8 6 E T k K 6 3 / / 1 6 f P T E z C y 9 x k g n p n P Q G a e T Z 5 8 S + p n z 4 8 / h 6 C 5 P w z l z T f + n z o V 5 i v v r 8 f 0 7 5 v f X 5 m M p M T 9 J d + 8 7 n x n / j b f E r G B k / 5 F 5 O V x P D 8 9 f k Z I v 3 5 5 t P f 4 r v e X / e b k 2 z y H L 7 8 8 A W T + + V h m g a j 6 5 d 6 b F 9 / 5 / M u n b 3 Z + r 3 t P 9 n 7 q J 5 4 9 + P L 0 8 5 c k L N o C v X 2 + d 5 T i 2 U n T 3 f v p H m N H n z 1 + 8 + 3 v v F G E P t / H L 2 9 4 P l m U v j j + v e U v 9 O n + e P z F 2 Q v v c / s H S P / a T A G N 8 / S 1 U v 8 1 s G T S 4 7 f H r 4 n S 3 N P v / e b 1 t 5 8 9 P / p 9 H t 8 1 v + K z L 5 7 a z / h X f P b 8 c / r l 9 + b P + F d S O y R L J 6 e v X / / + X 9 B c M 2 0 M Y 9 h P v j j 9 4 s n p q 2 4 7 w u I V 0 Z 1 x e 3 p K D P j 8 9 6 d 3 A r Z C E 2 I t Y U b 3 B y l k X 3 H F t N j O s 6 + I u X 9 / l s x n v 8 8 3 p s v 2 d n 5 4 u m z v 5 0 S X d Q n 3 I 4 3 2 I 4 0 W a L S X u z / 1 E 0 8 H N d q D / y / q s 9 / n / x v 6 7 O T 3 P 3 5 1 e v y N 6 b K d v R + e L t v 5 O d N l h m g / 0 m M / 0 m O h H t t 7 u f N 8 S I / t / b / e L / u 9 / z + q x 0 6 + + O L N 7 3 / 2 5 v Q L 8 T F O T z 7 / 5 j T a 3 s E P T 6 P 9 3 E S a c f L 9 S L f 9 S L d 1 o s 7 9 v T e D P t q n P 4 o 6 f 5 a 0 m 4 j k y Z f f m E b b + f + 9 R n M k + 5 E W + 5 E W C z 2 0 n Y O z Q S 2 W f v o j H c b i 9 k 3 r M E 4 A v f 7 9 T 9 6 8 + u a 0 2 O 4 P T 4 v t / J x o M Z 9 o P 9 J j P 9 J j o T f 2 U z / 5 k y 8 H 9 d i 9 / z f p s d 8 7 o s d + 7 4 g e + / 9 C p P n k q 9 f f b M J s 7 4 e 4 k P l z p M Y c z b 4 5 L Q b U f q T F / r + v x T 7 f f f 5 7 D + b L / j 8 Q U / 5 / V Y / Z J L a m f E 6 / 8 8 1 5 Z r s / x D W A n 5 v 4 M k 6 + H 2 m 3 H 2 m 3 T q z 5 e 7 / Z H c y Y 7 f y / X b f 9 f z b W P H t 9 8 v L 0 m 9 N n e z 8 r + g y / O d W 1 + 3 O k x w y p f q S 7 / n + j u 3 7 8 m 9 F d 9 3 7 i 9 x 7 0 z O 7 9 v 0 p 3 / d 4 R 3 f V 7 R 3 T X / y f 9 s t d v v j E 9 t n v v Z 0 O P / b / b L w P 5 f q T b / n + j 2 7 4 h v 2 x 3 f / / 5 o F + 2 + / 8 m 3 f b / K 7 + s I 5 z P z l 5 8 Y 7 p t 5 + H P O 9 3 G 5 P u R b v u R b u v E n K d f P R 1 c F 3 j w I 9 3 G o v e z o d u e G r n 8 8 p t T a 3 v 7 P x / U W k C 5 H 2 m 0 H 2 m 0 U K P t n T z 9 9 q C 3 9 v B H G o 2 l 7 m d F o 3 1 j e m z n h 6 j H d n 7 u 9 N i P t N e P t F c v j 7 b 7 4 u X g C u f + / 5 u 0 1 + 8 d 0 V 6 / d 0 R 7 / b 8 h j 3 Y b 7 W W 8 i m f f m B r b + 3 m R Q f M J 9 y N 9 9 i N 9 1 v H G P t 3 9 v Q e 9 s Y P / N + m z / 5 9 5 Y 2 H y 5 6 t v L s j E S v T / / 7 V a n 3 w / 0 m 0 / 0 m 2 d 3 N n z + 4 O 6 L f 2 R b v s h 6 T b q 9 Z v T b T / E w P P / J b q N y f c j 3 f Y j 3 d Z Z 8 z z + / P 6 g 3 7 b 3 I 9 3 G o v e N 6 7 a T L 7 5 4 8 / u f v T n 9 Q o X z 5 f H p N 6 f b H v 7 / X r d F y f c j 3 f Y j 3 d b J s T 3 4 q Y e D O b a f v T V P q J 1 X L P O v f 3 / 6 W 2 l / 9 F P f d r w q n x i + f 0 j P 7 t 4 9 S + N A N t 6 Q + B 6 d l F l T n I / T W V 6 m n 2 d N W 5 G O w + e k a 8 K u 7 g o C P 1 K t T j d 8 f v o N x s Q H P / 9 0 K 9 P v R 8 r 1 R 8 o 1 U K 5 f / t T L 3 2 v Q c U x / 5 D j + L G m 3 l 1 / 9 / k + e f v 7 m 7 J s L h f d + V t x F / O a 0 1 9 7 P j S r z i P U j / f U j / d V x D n + v L 5 4 O O o c P / 9 + u v 3 7 v i P 7 6 f f 4 / o L + e n b 0 + e X n 6 6 t 4 3 p 7 5 2 / 3 + r v h y t f q S 9 b q m 9 / t + v v X 7 8 G 9 J e v / f D b w 9 p L w S S / + / W X j H v 6 / 8 L 2 s v G R t + Y + t q 5 9 7 O h v u I B 5 c 7 P j R r z i P Y j P f b / G z 3 2 D X l h e z 9 5 M h h F 7 t 3 7 f 1 c c + X t H N F n M D / u 9 / z + g y b q r g y 9 f a b r p G 9 B p u / d / e D r t 5 y h J F i X f j 7 T b j 7 R b Z 3 H 1 8 1 c v B x d X 7 / 2 / S b f d 1 k v 7 / 4 J u o 7 T P F 6 f H r 0 k 7 f W M q b e e H q N J 2 f m 5 U m k + 1 H 2 m y H 2 m y j p 9 2 9 n J 3 0 E / 7 f 1 W 8 + X v / / 0 i T x d Z d P n / w e 3 9 7 k 1 7 D r 7 4 6 w 0 C D v 1 m 5 4 V P + 6 V T c z 0 o i L a r i G N u b 9 B o w 9 P 7 a o O M Y n B E E q 3 a s M N y k t f S 3 Q F v p b z / b W g p j D P 5 + T 5 3 F s 9 j 9 7 B Z a D F q h 8 4 m n 1 X Y G t d r O s F a z B u a H o d X 8 v 5 w m w 8 8 N O k w l J 6 7 D 0 t 3 / V 8 W a + i s 0 l v 4 K R Y V f / 1 + q q h A F n b w + O f v m P K 5 P f 2 j q 6 O c o i H Q k + 5 G 7 9 S N 3 K 3 S 3 d v Y e P B x U V f v / L 1 J U / 7 8 K H E + + / O I l c e P T b y 5 u 3 P s h a r G d H 4 o W e 9 1 L 7 z u i / U i P / U i P h S 7 X s 5 8 8 f j o Y N t 7 / f 5 X L F d V k v 3 d E k / 0 + / x / Q Z N 3 8 9 O u v n n x j O m 3 3 h x c o v r d n Z s Q M c G + v 0 2 5 M 7 z P 5 f q T d f q T d O l 7 a q 2 9 / e 9 B L e / i z p t u g d l 6 x z L / + / e l v p f 3 R T 3 3 b 8 a p 8 Y v j + I T 2 7 e / c s j Q P Z e E P i e / R 6 P U n P 1 8 t p 8 Y / + r U t S b / i I 1 E z Y y 1 3 p + x v Q q v 9 f 9 Q + 7 a u H N 2 T e o V X + I n u L P T b w b J 9 + P t O q P t G p n 0 f T F v c H Y d / d H s e / P k m 4 7 + e K L N 7 / / 2 Z v T L 6 x w q p b 4 m r o N h P g 5 W 2 A A K / 5 c a L g o E X + k 4 X 5 O N N z u / 3 s 1 3 L 3 T 4 z e D U f H B / 5 s 0 3 O / 9 / x 8 N x + n 2 r 5 5 8 m F Z j D W R y e / d / e P r s 5 8 Z j c y T 7 k Q 7 7 O d F h / + / 1 0 r 4 8 P T 4 d z u z t / L 8 / s / f / a S 3 2 6 p t b o d h 5 8 P N D i 7 3 6 0 f r E j 7 R Y X 4 u 9 2 P 3 2 Y A b v / w P r E / 8 f 0 G J 3 + V / q x E 9 b 8 p 8 m 9 I x N z O c P f u 9 v O x 3 H + m e g 4 e l D 4 j x p I O 1 o 8 E c v 6 7 x Z r 9 Z 5 0 1 b p 8 a q u J t m s + o 2 T 4 + U 6 K 7 U x W s V C 0 2 + f P X 1 6 + g J E 1 N + A O k 8 T l j 7 t 7 4 9 f U i L r B b P E 0 1 d n z 5 + / f k O 8 f / S c R u v + e v z t 4 9 d P T 5 8 d f / X 8 z d M v T 7 5 i m O E n x D o v X x x / w Q R / c v z 6 9 C l o / O b 5 l 5 9 / G X x i 9 a 3 9 B I u u Z 0 / D 1 1 R x e 2 n b n z 2 i / 1 6 / 1 / M + 0 Q 2 h o x T e 6 1 B Y O U + o + e z D K C t C + P 9 N S v 7 E d + 8 P U z L d z e v 0 T V 0 s o i S 9 t 4 m k P 2 J W 2 / D 3 f v B y A 4 n 3 6 P + D J N 7 / E Y l v Q + J v 3 / v O w w 0 k v r e J i 1 0 U / S M S b y L x w 6 / e b C D x f r u B i 9 3 S 0 v / f S f x h J P 7 8 0 6 c R E i 9 W Z Z F N i 2 q Z N 7 9 x M s v L d J X X / + h f X w 3 Y O R d O / c i T u A 3 N v / j 2 7 7 2 Z 5 p t t 4 M G P y P 1 e 5 H 7 9 5 t s 3 k H u j P X z 4 I 3 K / F 7 l / 6 n 4 k O A n I v c k 2 7 u 7 8 i N z v Q + 6 z + 5 / H w h K f 3 J v s 5 O 6 P o s D 3 I / e T 1 7 H Y x S N 3 l M o / i g T j 1 D y 7 F w l T t l 7 l s / V U q H n n Z v d j t x s T / o i F N x P 9 y 2 e R w C U g + k b / Y 7 c b I P 6 I 3 p v p / d V P R K K Y k N 6 b H J D d b r T 4 I 3 p v p P d 3 d v c i I U 1 I 7 4 0 e S D d 0 / B G 9 N 9 P 7 w d N I O B P S e 6 M L 8 q P w 8 f 3 o / f R l J J 4 J 6 B 0 l 8 8 G P f J C w 4 e / 1 4 v f 6 6 s 2 X b z 7 9 6 u w G B 3 o 7 9 Y g b p W 0 3 R v x 5 T 1 t l 1 d 9 r N x I L + g t V X 1 S z 4 r y Y Z n H X b q 8 b D P 6 I r k L X n z i J B H 0 e X X / j x B F 2 o z O 3 1 4 3 / f k R h o f B 3 v 4 z E e U M U 3 u S + 7 f 0 o 9 o s 2 / L 3 2 f i o S + w 1 R e J P D t r d x U f D n M Y U f P o k E e k M U 3 u S i 7 W 1 c E / x 5 T O F n X 0 R C O 6 J w e l I t a J l q k b f F r J I U x s s N K Y y 9 H 4 V 4 7 0 f 3 5 7 9 P J M T z 6 F 4 0 V d R R 2 9 u 4 L P j z m J F f P 4 z E c L 6 j 9 p P F R b 5 s 8 9 8 4 a Y p l u q r z 7 S k o n R O H 5 3 W U 0 t 2 o 7 k e U F k r / P s 8 j 0 d t 7 q o t u K P c j d b G R 5 s / 3 f + 9 I G O L T P H 1 a T V N i 9 / I W x P 9 / 2 3 r g / 9 u J / + Q g E q u E D P + K t M h y O L y + 1 w 0 D f 8 T v m 0 n + 7 d 8 r E r z 4 J I 9 S + U e h Y L T h i 4 N X 8 U B F T K A 4 G 2 I X 9 Y M h m 3 j v R 6 F g n M L P 7 m 0 O V N J Z 0 a y q Z T E p y Q F Z Z X X m U / r m F c J 7 P w o Q 4 3 T f + z y i J 5 7 m l / n y I r u N X v 7 R S u D 7 0 f v 5 a S R c j N N 7 Y 9 b u 3 o / i x f c j / K u f i M S L A 4 T f l M y 7 1 4 0 f f 0 T 4 z Y T / f X Y j c e U A 4 T f l + O 7 9 a J H w v Q j / 5 f 7 T S J g 5 Q P h N q b 9 7 P 4 o 1 3 4 v w z 7 9 6 E P F l L O H T 3 d 8 4 S T / 9 N E r p X m D 5 + / y I 0 p t Y / P h l J K r v U n q j H d 3 v B Z Y / I v l G k n 9 7 J x L L 9 0 i + y Y L u d 6 P M H 5 F 8 M 8 l f n G z y 0 Q 3 J N 9 n O / W 7 Y + S O S b y b 5 m x e R g L 9 H 8 k 1 W c 7 8 b c f 6 I 5 J t J / l M / t d F q f r r z G y c m R V s s 0 m d n U a L 3 w t E f E X 0 T 0 b / 4 7 v 5 G b X 5 / / z d O t t J 3 6 e m y r b N Z l s 7 y 9 I t p k d 2 J 0 r 4 X k f 6 I 9 p t o / / L T 4 0 2 p g E H a b 3 Z n e t H p j y Z h 4 y S c f L E p L T A 8 C R s d n F 6 k + q N J 2 D g J Z 7 / 3 p h T B 8 C R s d H l 6 U e u P J m H j J L x 8 u C l d M D w J G 5 2 g H w W 0 N 0 / C 6 9 / n u 9 / d 3 f v y i x e v X j 1 5 + X v 9 P p s m 4 f i n 1 0 2 b p 6 / y a Z m l e z u 7 9 + / u P X x o 3 K a A 8 v d / F N f e T H k / a f P i J z d 5 / F E S / 7 9 m t f T / X a R 8 + Z P P N 2 d l N m j t + z 9 a H 4 0 2 / I n f + 2 y j n 7 L J H b n / o 7 X P a M N X P / V s Y 5 C / y b u 4 3 w 0 0 f 0 R T b v h m 9 + l G 2 d / k L N z v B p A / o i k 3 / O r e c U T 2 T 6 r F q q 4 W R V M 1 v 3 H S F E t y y J j I d Z S 0 3 b D w R 6 Q V 0 j 5 8 H o k 8 K M X U r F f r v G l p l e y y u M i X b X 4 L G n e j v h / R W H J M n 3 4 V Y d / T n 8 7 r a U E a 4 c v 6 N 0 5 m e Z m u 8 v o f / e u r A U + r F 8 v 9 3 j 9 y Z j d 5 C 7 / X T 0 Z y q Y M k 3 + y R 9 U K 4 H 9 F + o 1 f x x e t I S n W Y 9 p s 8 t 0 9 7 Q d y P a L + J 9 q + / f B l R 5 8 O 0 3 + T h f d p b p f w R 7 T d 6 f j / x 4 r 1 0 z i Z P 8 N P e c u W P a L / R x L 5 8 E / G 6 D e 3 d u l n 6 L J t G 6 d 1 b q / w R v T f a 1 1 e f R p Z u 4 v T e a F w / 7 a 1 X / o j w G 4 3 r G 6 w y 3 p L w G y 1 r b 7 H y R 4 T f a F l / c v f b t y b 8 R r P a W 6 D 8 E e E 3 m t X v / j 6 3 V z U b b W p v U f J H h O 8 R / v X v 8 3 s / / P S n v r v 3 Z O / L B 3 v f 3 d n g z + h K z L 2 d g y i x D 2 5 D 7 A / M C f x / n d i + A 7 N z t o H L o x T u h q V A 9 Z u i L M P 6 / y Y l f 2 L 3 u 5 v C z 0 3 O y I O d H 5 E 0 6 n T c e 7 M p q t z k Z j z 4 0 R J h 3 J 2 4 / 2 p T s L j J g X j w o x X C u K N A a 9 g b S L r J N X j w o w X C a M O v n q F h l 6 R u M U v W B H K Q O I 8 u C T z 4 I a 0 S / n + N s F 9 8 5 9 s R w r 7 M m K q U J f q N k 0 2 r A Q 9 + F L u 9 F 7 V / 4 v Q 7 L 2 9 H 7 c 3 u w Y 8 i t / c i + 6 v P v x 1 J y k X J v t G F + F H c 9 l 5 k f 3 1 2 G l l u j J J 9 o 5 t x q w j u R 2 S 3 7 s f v 9 e S 2 S m a j K / K j 1 c a b y f 7 6 9 / n u d 3 d + a u / T 5 0 9 e v H 7 1 5 P e 5 J d n v P 4 g R / K A b 9 P 2 I 4 J s J / n u / O L s l w V / l 0 z J L 9 3 Z 2 7 9 / d e / j Q x D s h 9 X + 0 y P h e 1 H 9 z 7 6 f 2 3 o / 6 U a r / a H n x Z q r 7 7 v r T + 7 / 3 E N W j 9 P 1 R P B l 3 x A 8 O I q t X y r 2 b X O + D H 8 W R c R f 7 + P 5 w H L n J q T 7 o h p A / I q g 4 z y d 7 k T y 8 E n S T u 3 z Q D Q 5 / R F B x i 0 9 3 h k V + k y N 8 0 A 3 7 f k R Q y c l 9 8 T A S V d s 0 p 6 T k Q N 9 o Q u 6 g G 9 X 9 i K p C 1 d e / V y R 5 / H o 9 S T 9 L v 6 h m x X m 6 n V L e M 0 r S W 0 V s P 4 9 J + / t 8 N 6 I B i L S c N y 6 m R d X E y P q w G 5 f 9 i F O 5 4 U / e f x D L M 9 R 5 s 1 6 t 8 4 Y 0 6 v G q r i a k X n / j 5 H i 5 z s o o c X 8 U d r 0 f 0 Z 9 8 J 7 J c 9 7 5 E 7 0 V d v 8 + P F I V P 5 G 9 / F f G 9 j h e r s s h I S y z z R o m b x x V G N + j 6 E U 9 v J v e X n 0 b y x L c n d z c k + x E 3 h + T 9 6 t u R n M H W q 3 y 2 n g p 5 7 2 y m 7 4 8 W + d 6 L 3 t / d e R M J h d + D 3 t 0 A 7 k f 8 H N L 3 w f 3 Y a p 4 z g b 9 x w o 5 y M U V k N 2 w E f 1 b C u v 8 f k P f p 5 5 E A 5 P g y W 0 5 z R B 7 5 k i P m S y h l d T W Q 7 0 1 f a r o 3 S u s f B X t x W n / n d S Q i i d L a Y + k b q d 2 L A 3 + k Q A K q / 8 S 9 S O C y m c O H 1 M j u z o + i w z i R v / s s E q j c x N r D Z O 7 F i T / i a b / h 7 7 3 3 E 7 G Q R c h t c 3 L v o 7 R 3 d 3 4 U J W 4 m + c O 9 W N g S I f n t d f f u T i 9 2 / B H R A 6 I / e x o J Z j b y + b B O + V H g u J n W z 1 9 G A p k b G H y Y 2 r 0 w 8 k f U D q j 9 e j c S 1 l h L + R s n r / I 2 X 7 p 8 S B s l c i 9 2 / F G s v p H o v 8 9 J J N h x 7 s n u b 5 y k n 3 4 6 T O 5 u D B n l 6 R + R 2 z T 8 f f a / j M Q 7 j t y f 7 v z G y d N q m l I w X x a L 9 N n Z M O W 7 E e W P K L + Z 8 s c / F Y l 5 H O X v 7 / / G y V b 6 L j 1 d t n U 2 y 8 h P S b + Y F t m d 4 Q m 4 V Z D 5 o w m w E / D t J 5 F 4 y F P v A 3 T e / c D 4 8 v T / p + b y 9 3 n x R S T g s V 7 J l / U w R b / u k u O m i d U W P x 8 5 + 6 d 2 H k Z c c j M T T q G n z 7 J p O j Q n v V j z R 3 P y I X P y + 7 z 5 f S K x 6 c u M d T 3 F o M P C 8 X X X L n 8 0 E X H h + P R 5 J I b 6 y a z G 0 u Y / + r c u U 3 I w 6 f n d o 3 P R j U / f U / X / / z V S + q m T 3 z s S K Q U 0 f V E t i m U 8 D t 3 t x q E / o q p Q 9 T s H k V C o x 6 m v 8 g G y d i P P / w + S 9 S 7 / e / I l 4 / 7 s + A Q / j t + 8 I n q / + r 1 / f / 5 F 6 f h T z 7 4 4 O T n + / J k j 7 P G b N 6 / O z D d f f P X i 8 V 3 z i X z 1 R n p U a u 3 0 V g 1 8 N Q u Y L 1 + 9 J o 2 5 J x 3 I H 4 + f P T 9 + 8 / s r h M d 3 v b / k m 9 e d 7 8 z f 5 l s i P o 9 L / n p 6 9 g p / n T 5 / 8 5 V Q 5 6 4 d Z H e 0 O 8 + + e n H y + 9 O k H c f H e / r s 7 O f N e H d e f v X 7 P 3 v x + 7 / + 6 s n u z 5 c h 0 x S f v n 7 z 6 v j n y 3 g x x T T e 3 / / s 6 d c Y 8 f 8 n R 8 x C / P L V 5 z + P x v v 8 7 M X x y c + j 8 b 5 8 9 e X p 6 5 9 H 4 z 0 5 P f 3 O q 2 9 m v J / / f 2 S 8 r 9 9 8 M + P 9 / 8 j 8 k g n + + T J e 5 3 T s / X w Z M k / x F 1 / + v D H B b o r v / X w Z s o Q O P 6 9 C p V e n b 7 7 8 e T T c k 9 M 3 Z / + / U 9 J P X / / + J 2 9 e R S T 4 y V e v l R T f x I B 3 / t 8 / Y K i s k / 9 f h s K D Q 4 Y I v 3 7 5 / z s Z v m G 8 y L v 9 v B m y 5 e r / 3 / l a m 4 b 8 / 8 + E x 8 2 T / P 8 v b 8 u Z o N 6 I K V P + + v f 5 h j I A u / + v H + 3 r L 7 9 6 R c N 9 c / r F / 6 9 G D J a O a e m z 1 y c / e f z q x T e U A P h / + W D p Y 6 w j / X w Y K 9 T U 0 / 9 / e l i b R v v / P 8 v 7 8 8 r o D s S C z 7 7 8 h k L 9 n f + 3 D / X k 2 e / z z Y z 0 / 9 W T u n P 8 8 v f / 8 t n v L 1 / + / 3 6 0 w s L P / n 8 1 U l J B T 5 5 + / u Z s Q D 2 d H L 9 4 e v z m G z K 0 / 9 8 Y 8 u n v / f L n 1 Z A x 2 G e v v v y G v O T / j w z 4 Z z M H + 3 M w 3 J M v v n j z + 5 9 x q B N T W m c n X 7 7 4 / 9 d K 9 w 0 D P j 3 5 / B v K w f 5 / Z b x f f v 7 z Z b x s l s 4 Q I + z / / B v y / Z 8 v Q 2 a 1 9 e b k 1 d n P p w H T W t n P K z H + / 2 H w e y s p / v 9 X K u d W Q / 7 / V 5 L 9 J j l + e f z / r / j h V l P 8 / 6 + U 3 U 2 2 6 d X P I 9 u 0 Q x P 8 z e X b / 9 8 / X k 7 g U T 8 / n 8 Z 7 d v L z i K F F S X 9 + + g 1 l o / 9 f M m D S x F + c H r / + 6 t V p R I Q / J 1 / r 8 5 d f / P / N 3 9 o 4 5 v 8 f L n h v H O / J q y 9 + f / q M o P / 8 G f P T / 5 + m L z e P + P 9 n + c u N 4 8 W a 8 M t v 0 P / 4 / w J X y 5 h P j t / 8 / 2 r I J 1 9 + Q Y P 6 8 m l s x M / O X p / 8 5 P G r F z 9 / R v z l s 9 / n 9 P j V N z P c / 5 f I 8 a b h 4 r v j F 9 / Q q v j O / w f G + + 1 X b 3 7 / 4 5 O T N 9 + Q A / L / h S F / + d W L N 6 9 + / k z x / w / 9 y 0 3 D f f 3 l V 6 9 o v B x R / T w Z 8 p f P X p 6 + + v 9 Z 7 n L D c F + d v n n 1 J X X 0 D R n h / w + M + O T 3 P 6 H A + P j V 6 T e 0 X r z z + O 7 / 2 4 f M P P 3 N j P b / A x J 8 8 t W r V 6 c v T v 4 / b Z T u 8 r 8 n p 8 9 l 7 P y L t N s l 1 L / c e / P i O 5 9 / + f T N z u 9 1 7 8 n e T / 3 E s w d f / j 4 v v i A R N k 2 0 7 R 4 P M / q Y t n t H j 1 9 8 9 c X v / / r k + P k p U M A f L 1 + d n j B i X 7 z 8 9 v H r s 9 d M t e e n P 3 n 6 H L + d f P X F V / z L 8 + P P P 3 9 1 B F D y 2 + M X t C T w C l S U X 3 x i 7 e 7 u f V P k + r 3 O n u I F / B C C v Q e V X v 3 U s 5 f f J J W g 7 + z v 3 y S 9 7 t / / f w O 5 v n z z 4 h s l 1 z f M V P v 7 P 2 d E e v 3 7 f P e 7 u 3 t f f v H i 1 a s n L 3 + v 3 + f / x U S 6 v / t z R i S P k 7 7 7 A H h 8 c 0 T 6 W R O 8 h w f / b y D X 7 / P t J w / / P 0 G u 3 d 3 / V 7 D X y 5 c P v / 1 N 0 u u b l k F D i J 9 T I r 3 + y d 3 / N x P p 0 w f / b y D S 7 / 3 7 n D z / f z G R d n f + 3 6 G f 3 v w + T / / f T K X d n z v P w N d K Z 7 / 3 7 / 3 / Y i r t P / x / A 5 F + r 2 f / r w 5 c 9 j 7 9 u S X S 7 / X i 9 / r q z Z d v P v 3 q 7 J s k 0 s + a P 7 B n S P J z R C 7 h q e 8 8 f f n t / 0 + Q a / f / F S L 4 8 t P j / z e L 4 P 7 / K x y D r 3 6 f 7 9 7 / J o n 0 s 8 Z T D / 9 f 4 Z F / u f / 0 G x X B b 5 i n 7 v 2 / Q v D e n O 7 8 f 4 O n D g 7 + 3 0 C u 3 / v 5 / 1 f U + s 7 P s d e g A d + X L 3 / v b 5 J e 3 7 A M f v r / i p T w l y 9 O v l E Z / I a J t H / v / w 1 E e n 1 2 + v / m e O / B / y u 0 + e / 1 + u E 3 K m 4 / a + p p 7 / 8 V 2 v y 7 P 3 H v 5 f 8 n y L W 7 8 / 8 K j + q r 1 7 / X N 5 q Z + l m j 1 0 N D k p 9 b c n 0 B R / i H Q 6 4 P I t f B / y u U 1 + e / 1 / 9 H u O v / F f b w u 0 8 / / / 8 G t R 7 + v 4 K 5 n n / 7 9 / p G f a y f N X L d + 3 + F S / r d 7 7 z + / w a 5 d n c M T X 5 O 6 f X y J 5 / / f 0 P V 3 / 9 / h f L 6 z u 7 e / 5 u d + d 3 / V 6 T 7 f q / n / 6 9 e 4 d r 7 f w W R v v j u / j d q B r 9 h I u 3 / v y I L 8 5 0 H T 3 / v / x c T a f f g / w 1 E e k N O w j d J p J 8 1 F f 7 g / x U r y 2 9 + r y c v v 0 l y f c M 8 d W A I 8 X N K p C 8 + / e r / z S r 8 / v 8 r X P O f O D j 4 / 4 a v C T R / 7 s n 1 e z 1 8 8 v D / E + T a + 3 8 F u X 7 i 9 z 7 7 R k X w Z 4 1 c 9 / 9 f o d a / / c W 3 f + 9 v k l z f s M b 6 f 4 X C e v P d 3 + f N / 4 t p 9 O n B / x u I 9 M X T + 9 8 o I / 2 s y d 3 B / y v k 7 s 3 u 0 / + P J B D + X x H R v P r 8 2 9 8 o u b 5 h E X z w / w o R f P H 7 7 H 6 j I v g N E + n e / y u I 9 F M 7 3 + y S 6 T d M p N 3 d / 1 c k 7 H 7 q 5 P f + R u X t Z 0 0 9 7 e 7 + v 0 I / v X j 1 E 9 + o 1 / k N c 9 W 9 / 1 f k 7 l 5 9 8 f o b z b h 8 w 0 T 6 9 P 8 V a + 6 v 7 r 3 5 R v X T z 5 r k P f h / x c L V 2 Z P / r y x c f b N 6 / W u S 6 / d + 9 s 1 m h n / 2 y L X z / 4 p s w n d + r 9 3 / b 9 j B v f 9 X K K / X 9 1 / 9 f y N X 9 e D / F d L 4 7 d d v v v 1 N k g u / f 4 N E 2 j W E + O E T 6 f X v 8 9 3 v 7 v z U 3 q f P n 7 x 4 / e r J 7 / P / Y i I d / L 9 C 8 H 7 i 9 / r J b 1 T w v m E i f f p z x 0 k + k X a / + 4 3 6 n z 9 7 2 u n / F T z 1 x c s 3 3 6 j t + 6 Z 5 6 v 8 V e b y X J 1 / 8 v z n w 2 z / 4 f w O R X h y 8 e v l N E u l n T f D u / b / C L X j + 1 Y P / N y v z / f 9 X K P M X z 0 / / 3 7 w o c + / / F W m p V 8 f 3 v / 1 N E u l n T f A O / l 9 B r q + e / d 7 / 3 y D X g / 9 X B M f f v v e d / z f r q f 9 X s N T v 9 f s 8 / 0 Z Z 6 h u m 0 d 7 / K x b Y f / L J / 6 s Z 6 e H / K 7 y C N z / x 4 v / N R P r 0 5 4 5 I f r L g 9 3 5 x 9 v 9 i I h 3 8 v y J n / p N f f v r / 5 p j l 4 f 8 r j N v z F z / 5 8 p s k 0 s + a L 3 D / / x U 8 9 X u / / m Y T 5 d 8 w T + 3 u / L 9 i B f T L b + 9 8 o x m o b 5 h K + / + v Y K V X b / a / 0 S W 9 b 5 h I n / 6 / w q 9 8 s f f 5 / 5 u J d O / / F T r 8 J 1 5 9 + v / m H M G n / 6 8 g 0 u + 1 9 1 P / 3 z B 0 e / + v S P j + 3 n s / 8 Y 3 y 1 N c k 1 8 3 k 2 t 3 5 u f P I / Z z K v e N v 1 N n 8 W a P X / f 9 X e A i f / 8 R 3 / 9 + s 1 / 9 f I Y L f / e 6 z b z Q S / l l j q d 2 d / 1 c 4 V J + f P v x / s 2 / + c 0 e j 1 7 / P 7 / 3 w 0 5 / 6 7 t 6 T v S 8 f 7 H 3 X j v v r 0 g i d u z / e n 7 2 O f v z x X f l l i H 4 / H n U j / l + R w / t 9 j r 9 Z N + I b Z r L d X U O J n 1 M q / d 4 P 9 / 6 / Y Q 1 3 d / 5 f o e p / 8 v 6 D / z d z 1 c O f O 9 3 l E e m L 7 3 z 7 2 / 8 v J t K D / 1 c E z N / 5 7 p f f q G P 1 s y Z 5 e / + v c N t / 8 q t v / 9 7 f J L m + Y Z 5 6 + P 8 K n n r + 5 O D / z e m 8 e 7 v / b y D S l 8 c v / 9 / s f e 7 / v 4 J I r 0 / 2 / r + R V T j 4 f 0 W U / M X O 2 f 8 3 y P X A k O T n l F x n 9 z / / f 7 O e 2 v 1 / h R d 1 9 t U 3 m 9 j 7 p o n 0 / w q L 9 1 O f P v / 2 / 5 u J t P v / i p T 6 2 d m 9 l / 9 v p t L / K 0 K 7 r x 4 + / 7 2 / S S L 9 r O n w + w f / b y D X l z / 1 U 9 9 o 0 v M b 5 q n 9 / 3 c I 3 p f f b G b 4 G y b S / z u 0 0 0 9 + + 6 v / N x u 6 h / + v 0 E 7 f + Y m T b 9 R l + l n T T n s / d 8 7 T 6 9 / n u 9 / d + a m 9 T 5 8 / e f H m 3 k / t f Z P k + o Z 5 6 u D / F T m V b / / U / f 8 3 R 8 K 7 / 6 + I h L / 9 8 P / V 2 u n / F e H v 7 7 P / 5 T e a y / y G a b S 7 8 / + K F a l v f / 7 p N 7 r W 8 g 1 T 6 e D / D T T 6 i d P v v P x / M Y 0 e / L 9 C 3 L 6 7 8 + b b / y 8 m 0 s P / V x D p + f 7 v / f 9 m 4 3 b P E O L n l E g / 9 Z 1 v d s H g Z 8 2 r 3 N 3 9 f w V T f f 5 7 / 7 9 6 + f f / F e H c i 2 f 3 v t G Y 9 2 e N p + 7 9 L A d 2 d / n f p 6 / O n j N q L 1 + 9 f H N 2 + l r I + P L V l y 9 P X 8 n f e F m f X Y I C I D 9 5 / P w r J s L d b u M N L + / t f s j L e x / y 8 r 0 P e P n e h 4 x 5 / 4 N e / h C C 7 f s E Y 4 6 T 3 9 4 P i E + 4 r w l k d 8 e n A V j 9 6 8 D 4 A F L s 7 g S k 2 P 1 6 C H w A C + 3 u 7 H 8 D C N z / E A Q + / Z C X H 4 R M E N G p T 1 8 9 e / n 1 R n X w I Y g 9 D B D 7 W g j s h m L y 9 W B 8 C G / s f g O 8 s f c B W m b 3 Q 9 T y 3 o f L 9 v 7 O h 8 O 4 / w 3 A e P j N w P C J e f R y 1 W b l + P S i H m + n J 2 X W j E + n 1 T h 9 U 6 z o 3 8 / b a v z 1 u u g o 9 p g b + O D 3 / v b X g h 0 w 0 t c k Q c B P X w f G L v 6 / c Y x v 9 n 7 y 1 e s 9 a M S v A / t m + n 0 9 d Q b Y g b 3 8 q W d f / P 5 f n O x 8 D Z k G q E A v G F C / / + l P 8 A C + D k D f g B w d P / 3 J 7 x z / P i + O / 9 E / + e s B 8 w 0 K g H 3 5 + v m X X x x / P V i B f d m 9 d 3 f n 4 O 7 e D g K q r w P M N y i 0 c n t 3 Z 4 + B p b v 3 H + 3 d f 3 T v a 0 5 G Y G m + e b H e 7 b j W H h X S n Y e P d n Y e 7 R 9 8 P a i B I N E 8 P f 3 y 1 f H n X 2 + e Q l O 5 u 6 M Y f p r u P n i 0 u / N o b / / r Q Q 1 E Z n c 8 3 t 3 A 3 n d t k P K T x 6 8 E L P / y k y + O v z j 6 q d e / P 4 n J y e k J j w + f o B U F R G J V + b f H P / n y + N V r i n t e 0 0 f 6 6 + P X Z 5 + / g O H 7 8 u U b j t G + / K 7 + + P 1 P f 2 / + 5 N t n n 3 / b / D S f 0 d d v / N 9 + / + e n L + A / e H 9 x e 2 2 k v 5 p W / p + P v / 3 q 9 z G t + D f b y P 3 1 + C e 1 x U + a T 6 C q 7 R + P v 3 3 6 / O X v f / y T x 2 c c y n 3 x + v P f / w V H f m d f P v n O i y + O d k 6 + + O L N 7 3 / 2 5 v S L 3 9 + j k X 7 J I z 3 5 g u P G u 5 a k U d q e P D 1 9 + S P a h r R 1 d P k a 9 P z q 1 e m P 6 B m h J 9 P l 6 9 D z y e c / o m e M n q D L 1 6 D n 8 e f P f k T P C D 2 Z L u 9 B z 5 2 z 3 / / Z 2 e s T M m T 3 b q b n W Y e e + I B / g q p H T 2 i 5 F z / R 7 R F 7 y v j F k P h I / u Z f m V B H 7 K v x b 5 b m R / q J t P r / F P V 3 H B n f h / y v f / + T L 7 9 4 S f 8 8 P f 3 9 d 2 + e g S 5 H h z N w + h P e D M A 7 7 E 6 B + c j N Q p z j j z 6 v J k V e L 6 v 0 t G m z W Z X O 8 v R 1 t a z q z F A / m J P 9 / 9 d O i i X u + 8 3 K y 9 / / 2 e 9 z e v z q 5 v l 4 e f v 5 k M g h m A 9 8 d K v 5 + P + S D A j h 3 o f a r 3 / / J 1 + 9 / p F r 3 C U m E e X 3 P 3 5 1 e p M / f J f / / f b x i 6 f P k T V A l k P / e P z 6 z f E b + k H e 9 c v f / y e + O n 3 1 + w B D 7 6 / H Z y 9 e f v X m C x K P I 4 S 6 9 g 9 Z p X l + 9 p r R J 5 / n 9 / o p / P L 6 1 V P A A 9 d u 7 x x s I 0 D S j x 6 T 4 j v 7 y a P f i y I t + e 3 x 6 6 9 e 0 r r T 6 9 e / / x f 0 z / H n p x b a 6 6 + + 4 I W h 3 / / V l 9 9 9 j V k O P 3 D f n 3 z 5 / K s v X o R N z G e P v y I 6 / / 7 H J 2 / O f v K U 3 w N k / z N t i I 9 f / P 4 n 3 y a m + f 2 / f G G 7 7 H 7 k t 6 E 3 X 4 N M 3 Y + o z e s 3 r 7 4 6 s S 9 x m / A j v w 2 / t B u 0 E T i v v 0 2 z + P R L W n k 7 f f E G 9 H l z z H T p f H y s 5 A o / J m p L a 8 D c / f 0 N q w z n 2 s K G 8 t 6 e / u k B e n 3 2 9 P c / e / H 0 9 P d m c n c / M 6 1 o v R E f P j v 7 v T H 6 / o c G v H v T N P M / M 6 0 i 0 I I P H 2 O w m I U X n 8 u 6 5 u l 3 7 V y f v a B I / O w p / / r 6 x Z d v a D 3 x z e / D 0 n h M R P p 9 a D 5 e n S H F 5 / + J P p h Z 7 7 4 6 J f 5 / T R q X O P S r 5 / T z i + P f + / d n L O Q X / v v 3 M X / / P v y G N K S Y / 9 k z 9 P P q J 3 4 S P 0 S O u k k w l S 7 + 8 f v / 5 N n p d 2 1 T / u v 3 f 6 P 6 6 O z F M 5 r Z J 3 5 C z n 7 0 + P P T F 1 + 9 O O O E x G C W 0 b Z 5 T E u m z 0 n G v j h 7 k 7 5 r i k f L o v z s o 7 Z e 5 x + h H x a e s y 9 Z Q d n f H 7 + G / j g 7 f v L 8 9 O T L F 2 + O z 1 6 c k h 6 x v / 7 + o k Q i 0 N 7 8 3 r 8 / s c / p y R u 8 / / t z R u R 1 p N n d K P y 7 r 1 6 / + v 1 f / 9 7 M y E T M n z x 7 y p + + 6 X w g O Q E k a K Q 5 / i I O y B b 5 E Y h 3 + v w U 8 v D 7 k w b i z x 4 H O R x k E / S D 3 0 d f 4 s / I v J y a F 8 6 W s / w d 6 C G / P P 7 J r F z 3 Y M u H 1 C a E G O v g 1 S n x 9 q v f / / j 1 6 9 M v n j z / f T Z 3 8 + T 0 3 f F s V i x H 6 U / m d V N U y 8 8 e 3 N v Z G f N / o / R k X b b r O v 9 s m a / b O i t H 6 c v 1 p C y m v 1 d + / a Z 6 m y 8 / e 7 j 3 a f b p 3 s 7 B d H J + / 2 C S T b 4 O n i f P C d P N S E 6 r x b j J V u N J M c 7 b c b b M y u s f 5 P U 4 A + J j G s F Z m y / e 5 O / a 0 z J f 5 M v 2 v b B g y T a z v R m N p y / Z L 7 4 9 7 N P f m 2 T h F n N N Q / i 9 v r O / / / D 3 2 X 1 2 s n f y 4 s W L L 7 / 6 f Z 4 + f / l T L 3 Z / n 5 f v 1 e H r b 5 + e v t n c F 6 V k 8 6 Z q 0 n e c j I U 3 / X n W t N V 7 d f P 0 F D 7 P 7 / / 6 2 8 c v b x 7 Z y V e / 9 1 e f v 3 n 6 n Z 2 f O v v 8 3 v H Z w Z O T b + / u P P / 2 d 0 7 e q 8 t X U L 2 b + / r d j n + 3 3 U f 4 5 7 0 A P z 1 7 / f L 5 8 e / z + 0 M h n 5 2 Q t n / + 5 v T V Z n 5 k l f I e o J 9 9 + e q L 4 z f f L E y o h 9 9 f 9 c M N 0 v M L y / b w 9 3 i 3 K N N L l f C P d s c 7 H 6 X 5 c l q R / F x 8 9 t G 6 P d / e / f S j 3 + M X X r S H v 3 G C 5 q / z u s j K 4 g e 5 J 1 U p g V g 2 j 0 i 7 f v b R v G 1 X j + 7 e v b q 6 G l / d G 1 f 1 B S W 5 d 3 b v / t 5 f P H 8 9 n e e L b L t Y U r C 2 n J L 6 N W / N b n 7 r I 0 E g T Y H C m + t V j r 9 / M i N U J m W O z + 6 a D 0 2 j s 6 f c R H X 7 7 2 + C J W 4 r 3 5 m W T A r z O u k v b h J 8 K C O / G x s 6 v n 4 v p j r + 6 s 2 X z 8 4 2 S + L 7 z v j J 8 U s Y y / e G e d c 3 S M b m i R H b b N H u / y x a t P v v R c 4 f W b T 3 w e L / J R b t 3 u 9 F 0 d l P v n n 9 3 W 8 / e f j V d 3 + f n f 3 n v / e L p 8 / u 7 / 8 + 7 9 X h / x s t 2 k + 9 + s n d l 6 e n z 3 / i O w + / f f r 6 8 4 M 3 P / X i J 1 9 9 9 y G s x n t 0 e R u L d g q L d v o j i / b z 1 6 K 5 n P i P j N o 3 Y d Q + / V k 0 a p + + F z l / Z N T e B 4 v / l x i 1 + 7 / X y Z f P f v K r p 0 + / v f v F 5 7 / X 6 b P P f 5 / f + 8 s v n 5 3 + x I v 3 6 v D / j U b t 2 b 3 9 b 3 / 7 y 6 e 7 B 8 d f P f i 9 f + 8 v T p 9 + + / S 7 + 0 9 2 n / 3 e 7 9 X l b Y z a C Y z a y Y + M 2 v + v j N p J x a D a D U a N 8 v l v z r 4 4 v c m O Y S w / M m R R Q / b 5 K 8 p H 7 5 o + v i E L Z o C + B w F / f p q u z + t i 9 l 7 d / 2 z a r D f H r z 4 / l V T 1 Q B e 7 H 9 r F e 5 j F L x + e n R z s P / m p 7 5 C e + 7 1 3 v v u d 3 + v 3 f r n 3 7 f u / 9 6 f v 1 + E t z O L 5 m g Q + f z + w 7 2 U G v 3 z 6 7 P X r J 9 9 9 v v u d z 0 9 e / s R 3 D w 6 e 7 D 1 7 s / / 8 9 Z f v 1 e V t z K B k K 9 / 8 b u / n N Y q R 2 g z 6 / U z 2 6 y 9 f 0 R I H r Y u 8 / i a h f v v s 9 N X x q 5 N v / z 4 / m 6 D Z u t L a L i 3 R n X 4 z d v v F 8 U + e f X 5 8 o y Z / T 4 y / S Y M D B v j q + f E 3 i d 7 T V 2 e 0 Y v f 0 y + + + k K X h F z / 5 j W D 6 7 b P P v / 2 c / v 9 G l p 3 f f P X q l J a Y v 3 j y T f l t N O + n p O F P T n / / 3 + v 0 9 / l G O e z k + d l L 8 l Z O f + / N Q J 9 9 9 f z 5 6 7 O f O v 1 a s G + w m l 8 L 9 v H T 7 3 z 1 G h J x R t H o 8 a v T z V x y W z r T n 2 9 o i f X r e D d R b v v y 9 6 d V 8 t / / K X n F b 0 5 / / x d f g S F u 5 X u / 5 y S + / v a X 3 y V m / o J d b / J V f n + x Z + a T b 2 Q s r 7 9 6 S e r n 9 e v f / w U t p T + n Z e X 3 B 3 t X f 4 0 4 g H f t 0 v P r n 4 v 1 8 T c G S 0 b t 1 a v f O / i b V v q P n z 8 n E j 9 9 d f z 5 7 0 8 I 0 C 9 f v q T h P a X B o i O e L v 6 F h t V 5 O Q K M p J k o + W 2 a p b M 3 v / 8 X x y e v v v R g M Z K 3 A E J / n m A 6 z G i + P j p f n D 5 / Y 8 G 8 / v p w V H h + / + 9 + + e r 3 e v L l l 7 / X 1 x i U o c x 3 n 0 A 9 0 1 c v v j 4 6 B o 3 f / y W 5 x P T H 0 6 + B z 5 t v n 8 I l f O / 3 X r / 5 f S i j + d V L 8 l n J E J A K 9 I e x 8 1 7 D e E M O 1 m v S / h 8 I 5 s d h 6 d z L / O d 7 v f 5 V + P p X 7 / X 6 i y 9 / / + + + O v Z F 5 r a U t L P Y G f 5 t 3 2 f V S B 8 4 Q f k A D r f I n P n M d P T V v Q f P T h 8 8 / P L + v R f 7 9 / f O d h 4 + / f a b 3 / v 0 O 2 + e v R f w l 2 T F y J Z 9 2 D Q r E H 7 j 6 1 C L l D x 8 5 N d n L z 4 n B q Y 4 S i X y a 8 D 6 6 v U p S T C l Q c i 0 k 1 v 0 J e n O 2 y q p u 6 E + B i S y Z W x + y D Q f Q Z k / v t v 9 9 L G M H U H c 0 U 8 9 + + L 3 / + J k Z / f 3 P / 2 J n Z 2 9 x 3 e 9 r 7 T Z m 9 / n 5 e n R T 6 z z + t p 8 y 5 8 8 R t J N R P a I W N z 7 C 8 0 + P z 3 6 f w C I C F I W O U w C A A = = < / A p p l i c a t i o n > 
</file>

<file path=customXml/itemProps1.xml><?xml version="1.0" encoding="utf-8"?>
<ds:datastoreItem xmlns:ds="http://schemas.openxmlformats.org/officeDocument/2006/customXml" ds:itemID="{3AE36C67-6272-4D8C-B703-B6CBDC72C7F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E_TG</vt:lpstr>
      <vt:lpstr>E_CP</vt:lpstr>
      <vt:lpstr>E_CF</vt:lpstr>
      <vt:lpstr>E_CF_LDF</vt:lpstr>
      <vt:lpstr>E_CA</vt:lpstr>
      <vt:lpstr>E_CA_LDF</vt:lpstr>
      <vt:lpstr>E_CyC</vt:lpstr>
      <vt:lpstr>E_CyC_LDF</vt:lpstr>
      <vt:lpstr>E_SP</vt:lpstr>
      <vt:lpstr>fuente1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2.- Por Clasificación Económica (Tipo de Gasto)</dc:title>
  <dc:creator>javier.ynoquio</dc:creator>
  <cp:lastModifiedBy>Adquisiciones1</cp:lastModifiedBy>
  <dcterms:created xsi:type="dcterms:W3CDTF">2016-02-19T00:12:22Z</dcterms:created>
  <dcterms:modified xsi:type="dcterms:W3CDTF">2017-08-14T20:21:20Z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Egresos x Tipo de Gasto</vt:lpwstr>
  </property>
  <property fmtid="{D5CDD505-2E9C-101B-9397-08002B2CF9AE}" pid="3" name="BExAnalyzer_OldName">
    <vt:lpwstr>2.- Por Clasificación Económica (Tipo de Gasto).xlsx</vt:lpwstr>
  </property>
</Properties>
</file>