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8\Desktop\Hacienda\Portal Finanzas Públicas\2017\III Trim 17\"/>
    </mc:Choice>
  </mc:AlternateContent>
  <bookViews>
    <workbookView xWindow="0" yWindow="0" windowWidth="21570" windowHeight="8145"/>
  </bookViews>
  <sheets>
    <sheet name="Balance Presupuestario" sheetId="8" r:id="rId1"/>
    <sheet name="Edo Analitico Ingresos" sheetId="7" r:id="rId2"/>
    <sheet name="Clasif. x Fuente Financiamiento" sheetId="1" r:id="rId3"/>
    <sheet name="Clas x Rubro" sheetId="5" r:id="rId4"/>
    <sheet name="Ingresos" sheetId="6" r:id="rId5"/>
    <sheet name="fuente1" sheetId="2" state="hidden" r:id="rId6"/>
    <sheet name="BExRepositorySheet" sheetId="4" state="veryHidden" r:id="rId7"/>
    <sheet name="Hoja3" sheetId="3" state="hidden" r:id="rId8"/>
  </sheets>
  <externalReferences>
    <externalReference r:id="rId9"/>
    <externalReference r:id="rId10"/>
  </externalReferences>
  <definedNames>
    <definedName name="_xlnm.Database">#REF!</definedName>
    <definedName name="ppto">[1]Hoja2!$B$3:$M$95</definedName>
    <definedName name="qw">#REF!</definedName>
  </definedNames>
  <calcPr calcId="152511"/>
</workbook>
</file>

<file path=xl/calcChain.xml><?xml version="1.0" encoding="utf-8"?>
<calcChain xmlns="http://schemas.openxmlformats.org/spreadsheetml/2006/main">
  <c r="D10" i="8" l="1"/>
  <c r="E10" i="8"/>
  <c r="F10" i="8"/>
  <c r="D15" i="8"/>
  <c r="D23" i="8" s="1"/>
  <c r="D24" i="8" s="1"/>
  <c r="D25" i="8" s="1"/>
  <c r="D33" i="8" s="1"/>
  <c r="E15" i="8"/>
  <c r="F15" i="8"/>
  <c r="D19" i="8"/>
  <c r="E19" i="8"/>
  <c r="E23" i="8" s="1"/>
  <c r="E24" i="8" s="1"/>
  <c r="E25" i="8" s="1"/>
  <c r="E33" i="8" s="1"/>
  <c r="F19" i="8"/>
  <c r="F23" i="8"/>
  <c r="F24" i="8" s="1"/>
  <c r="F25" i="8" s="1"/>
  <c r="F33" i="8" s="1"/>
  <c r="D30" i="8"/>
  <c r="E30" i="8"/>
  <c r="F30" i="8"/>
  <c r="D39" i="8"/>
  <c r="E39" i="8"/>
  <c r="F39" i="8"/>
  <c r="D42" i="8"/>
  <c r="D45" i="8" s="1"/>
  <c r="E42" i="8"/>
  <c r="F42" i="8"/>
  <c r="E45" i="8"/>
  <c r="F45" i="8"/>
  <c r="D53" i="8"/>
  <c r="E53" i="8"/>
  <c r="F53" i="8"/>
  <c r="F58" i="8" s="1"/>
  <c r="F59" i="8" s="1"/>
  <c r="D58" i="8"/>
  <c r="E58" i="8"/>
  <c r="D59" i="8"/>
  <c r="E59" i="8"/>
  <c r="D67" i="8"/>
  <c r="E67" i="8"/>
  <c r="E73" i="8" s="1"/>
  <c r="E74" i="8" s="1"/>
  <c r="F67" i="8"/>
  <c r="D73" i="8"/>
  <c r="D74" i="8" s="1"/>
  <c r="F73" i="8"/>
  <c r="F74" i="8" s="1"/>
  <c r="K1" i="7" l="1"/>
  <c r="I1" i="7"/>
  <c r="H1" i="7"/>
  <c r="T1" i="7" s="1"/>
  <c r="D326" i="6"/>
  <c r="E325" i="6"/>
  <c r="D325" i="6"/>
  <c r="E324" i="6"/>
  <c r="D324" i="6"/>
  <c r="E323" i="6"/>
  <c r="D323" i="6"/>
  <c r="D322" i="6" s="1"/>
  <c r="D321" i="6" s="1"/>
  <c r="D20" i="6" s="1"/>
  <c r="E322" i="6"/>
  <c r="C322" i="6"/>
  <c r="B322" i="6"/>
  <c r="E321" i="6"/>
  <c r="E20" i="6" s="1"/>
  <c r="C321" i="6"/>
  <c r="B321" i="6"/>
  <c r="E317" i="6"/>
  <c r="D317" i="6"/>
  <c r="D316" i="6"/>
  <c r="C316" i="6"/>
  <c r="E316" i="6" s="1"/>
  <c r="B316" i="6"/>
  <c r="D315" i="6"/>
  <c r="D314" i="6"/>
  <c r="E313" i="6"/>
  <c r="D313" i="6"/>
  <c r="D312" i="6"/>
  <c r="E311" i="6"/>
  <c r="D311" i="6"/>
  <c r="D310" i="6"/>
  <c r="E309" i="6"/>
  <c r="D309" i="6"/>
  <c r="D308" i="6"/>
  <c r="E307" i="6"/>
  <c r="D307" i="6"/>
  <c r="D306" i="6"/>
  <c r="D305" i="6"/>
  <c r="D304" i="6"/>
  <c r="D303" i="6"/>
  <c r="D302" i="6"/>
  <c r="E301" i="6"/>
  <c r="D301" i="6"/>
  <c r="D300" i="6"/>
  <c r="D299" i="6"/>
  <c r="E298" i="6"/>
  <c r="D298" i="6"/>
  <c r="E297" i="6"/>
  <c r="D297" i="6"/>
  <c r="D296" i="6"/>
  <c r="D295" i="6"/>
  <c r="E294" i="6"/>
  <c r="D294" i="6"/>
  <c r="D293" i="6"/>
  <c r="E292" i="6"/>
  <c r="D292" i="6"/>
  <c r="E291" i="6"/>
  <c r="D291" i="6"/>
  <c r="C291" i="6"/>
  <c r="B291" i="6"/>
  <c r="D288" i="6"/>
  <c r="E287" i="6"/>
  <c r="D286" i="6"/>
  <c r="C286" i="6"/>
  <c r="E286" i="6" s="1"/>
  <c r="B286" i="6"/>
  <c r="B222" i="6" s="1"/>
  <c r="B221" i="6" s="1"/>
  <c r="B19" i="6" s="1"/>
  <c r="E285" i="6"/>
  <c r="D285" i="6"/>
  <c r="E284" i="6"/>
  <c r="D284" i="6"/>
  <c r="C284" i="6"/>
  <c r="B284" i="6"/>
  <c r="D283" i="6"/>
  <c r="E282" i="6"/>
  <c r="D282" i="6"/>
  <c r="E281" i="6"/>
  <c r="D281" i="6"/>
  <c r="E280" i="6"/>
  <c r="D280" i="6"/>
  <c r="D279" i="6"/>
  <c r="C279" i="6"/>
  <c r="E279" i="6" s="1"/>
  <c r="B279" i="6"/>
  <c r="D278" i="6"/>
  <c r="D277" i="6"/>
  <c r="D276" i="6"/>
  <c r="D275" i="6"/>
  <c r="D274" i="6"/>
  <c r="D273" i="6"/>
  <c r="D272" i="6"/>
  <c r="E271" i="6"/>
  <c r="D271" i="6"/>
  <c r="E270" i="6"/>
  <c r="D270" i="6"/>
  <c r="E269" i="6"/>
  <c r="D269" i="6"/>
  <c r="E268" i="6"/>
  <c r="D268" i="6"/>
  <c r="E267" i="6"/>
  <c r="D267" i="6"/>
  <c r="E266" i="6"/>
  <c r="D266" i="6"/>
  <c r="E265" i="6"/>
  <c r="D265" i="6"/>
  <c r="E264" i="6"/>
  <c r="D264" i="6"/>
  <c r="E263" i="6"/>
  <c r="D263" i="6"/>
  <c r="E262" i="6"/>
  <c r="D262" i="6"/>
  <c r="E261" i="6"/>
  <c r="D261" i="6"/>
  <c r="E260" i="6"/>
  <c r="D260" i="6"/>
  <c r="E259" i="6"/>
  <c r="D259" i="6"/>
  <c r="E258" i="6"/>
  <c r="D258" i="6"/>
  <c r="E257" i="6"/>
  <c r="D257" i="6"/>
  <c r="E256" i="6"/>
  <c r="D256" i="6"/>
  <c r="E255" i="6"/>
  <c r="D255" i="6"/>
  <c r="E254" i="6"/>
  <c r="D254" i="6"/>
  <c r="E253" i="6"/>
  <c r="D253" i="6"/>
  <c r="E252" i="6"/>
  <c r="D252" i="6"/>
  <c r="E251" i="6"/>
  <c r="D251" i="6"/>
  <c r="E250" i="6"/>
  <c r="D250" i="6"/>
  <c r="E249" i="6"/>
  <c r="D249" i="6"/>
  <c r="E248" i="6"/>
  <c r="D248" i="6"/>
  <c r="E247" i="6"/>
  <c r="D247" i="6"/>
  <c r="E246" i="6"/>
  <c r="D246" i="6"/>
  <c r="E245" i="6"/>
  <c r="D245" i="6"/>
  <c r="E242" i="6"/>
  <c r="D242" i="6"/>
  <c r="E241" i="6"/>
  <c r="D241" i="6"/>
  <c r="E240" i="6"/>
  <c r="D240" i="6"/>
  <c r="E239" i="6"/>
  <c r="D239" i="6"/>
  <c r="E238" i="6"/>
  <c r="D238" i="6"/>
  <c r="E237" i="6"/>
  <c r="D237" i="6"/>
  <c r="E236" i="6"/>
  <c r="D236" i="6"/>
  <c r="D235" i="6"/>
  <c r="E234" i="6"/>
  <c r="D234" i="6"/>
  <c r="E233" i="6"/>
  <c r="D233" i="6"/>
  <c r="E232" i="6"/>
  <c r="D232" i="6"/>
  <c r="E231" i="6"/>
  <c r="D231" i="6"/>
  <c r="E230" i="6"/>
  <c r="D230" i="6"/>
  <c r="E229" i="6"/>
  <c r="D229" i="6"/>
  <c r="E228" i="6"/>
  <c r="D228" i="6"/>
  <c r="E227" i="6"/>
  <c r="D227" i="6"/>
  <c r="E226" i="6"/>
  <c r="D226" i="6"/>
  <c r="E225" i="6"/>
  <c r="D225" i="6"/>
  <c r="E224" i="6"/>
  <c r="D224" i="6"/>
  <c r="D223" i="6" s="1"/>
  <c r="D222" i="6" s="1"/>
  <c r="D221" i="6" s="1"/>
  <c r="D19" i="6" s="1"/>
  <c r="E223" i="6"/>
  <c r="C223" i="6"/>
  <c r="B223" i="6"/>
  <c r="E217" i="6"/>
  <c r="D217" i="6"/>
  <c r="D216" i="6"/>
  <c r="C216" i="6"/>
  <c r="E216" i="6" s="1"/>
  <c r="B216" i="6"/>
  <c r="E213" i="6"/>
  <c r="D213" i="6"/>
  <c r="E212" i="6"/>
  <c r="D212" i="6"/>
  <c r="E211" i="6"/>
  <c r="D211" i="6"/>
  <c r="D210" i="6" s="1"/>
  <c r="E210" i="6"/>
  <c r="C210" i="6"/>
  <c r="B210" i="6"/>
  <c r="E209" i="6"/>
  <c r="D209" i="6"/>
  <c r="E208" i="6"/>
  <c r="D208" i="6"/>
  <c r="E207" i="6"/>
  <c r="D207" i="6"/>
  <c r="E206" i="6"/>
  <c r="D206" i="6"/>
  <c r="E205" i="6"/>
  <c r="D205" i="6"/>
  <c r="E204" i="6"/>
  <c r="D204" i="6"/>
  <c r="E203" i="6"/>
  <c r="D203" i="6"/>
  <c r="E202" i="6"/>
  <c r="D202" i="6"/>
  <c r="D201" i="6" s="1"/>
  <c r="E201" i="6"/>
  <c r="C201" i="6"/>
  <c r="B201" i="6"/>
  <c r="E200" i="6"/>
  <c r="D200" i="6"/>
  <c r="E199" i="6"/>
  <c r="D199" i="6"/>
  <c r="E198" i="6"/>
  <c r="D198" i="6"/>
  <c r="D197" i="6"/>
  <c r="C197" i="6"/>
  <c r="E197" i="6" s="1"/>
  <c r="B197" i="6"/>
  <c r="E196" i="6"/>
  <c r="D196" i="6"/>
  <c r="E195" i="6"/>
  <c r="D195" i="6"/>
  <c r="E194" i="6"/>
  <c r="D194" i="6"/>
  <c r="E193" i="6"/>
  <c r="D193" i="6"/>
  <c r="E192" i="6"/>
  <c r="D192" i="6"/>
  <c r="D191" i="6" s="1"/>
  <c r="E191" i="6"/>
  <c r="C191" i="6"/>
  <c r="B191" i="6"/>
  <c r="B190" i="6"/>
  <c r="E187" i="6"/>
  <c r="D187" i="6"/>
  <c r="E186" i="6"/>
  <c r="D186" i="6"/>
  <c r="E185" i="6"/>
  <c r="D185" i="6"/>
  <c r="E184" i="6"/>
  <c r="D184" i="6"/>
  <c r="E183" i="6"/>
  <c r="D183" i="6"/>
  <c r="D182" i="6"/>
  <c r="C182" i="6"/>
  <c r="B182" i="6"/>
  <c r="B181" i="6"/>
  <c r="E177" i="6"/>
  <c r="D177" i="6"/>
  <c r="D176" i="6" s="1"/>
  <c r="D17" i="6" s="1"/>
  <c r="E176" i="6"/>
  <c r="E17" i="6" s="1"/>
  <c r="C176" i="6"/>
  <c r="B176" i="6"/>
  <c r="E172" i="6"/>
  <c r="D172" i="6"/>
  <c r="D171" i="6"/>
  <c r="E170" i="6"/>
  <c r="D170" i="6"/>
  <c r="D169" i="6"/>
  <c r="D168" i="6"/>
  <c r="D167" i="6"/>
  <c r="D166" i="6"/>
  <c r="D165" i="6"/>
  <c r="D164" i="6"/>
  <c r="D163" i="6"/>
  <c r="D162" i="6"/>
  <c r="D160" i="6" s="1"/>
  <c r="D161" i="6"/>
  <c r="C160" i="6"/>
  <c r="E160" i="6" s="1"/>
  <c r="B160" i="6"/>
  <c r="D159" i="6"/>
  <c r="D157" i="6"/>
  <c r="D156" i="6"/>
  <c r="E155" i="6"/>
  <c r="D155" i="6"/>
  <c r="E154" i="6"/>
  <c r="D154" i="6"/>
  <c r="D153" i="6" s="1"/>
  <c r="C153" i="6"/>
  <c r="E153" i="6" s="1"/>
  <c r="B153" i="6"/>
  <c r="B129" i="6" s="1"/>
  <c r="B128" i="6" s="1"/>
  <c r="B15" i="6" s="1"/>
  <c r="D152" i="6"/>
  <c r="E151" i="6"/>
  <c r="D151" i="6"/>
  <c r="D150" i="6" s="1"/>
  <c r="E150" i="6"/>
  <c r="C150" i="6"/>
  <c r="B150" i="6"/>
  <c r="E149" i="6"/>
  <c r="D149" i="6"/>
  <c r="E148" i="6"/>
  <c r="D148" i="6"/>
  <c r="E147" i="6"/>
  <c r="D147" i="6"/>
  <c r="D146" i="6"/>
  <c r="C146" i="6"/>
  <c r="E146" i="6" s="1"/>
  <c r="B146" i="6"/>
  <c r="E145" i="6"/>
  <c r="D145" i="6"/>
  <c r="E144" i="6"/>
  <c r="D144" i="6"/>
  <c r="E143" i="6"/>
  <c r="D143" i="6"/>
  <c r="E142" i="6"/>
  <c r="D142" i="6"/>
  <c r="E141" i="6"/>
  <c r="D141" i="6"/>
  <c r="E140" i="6"/>
  <c r="D140" i="6"/>
  <c r="E139" i="6"/>
  <c r="D139" i="6"/>
  <c r="E138" i="6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D130" i="6" s="1"/>
  <c r="E130" i="6"/>
  <c r="C130" i="6"/>
  <c r="B130" i="6"/>
  <c r="D124" i="6"/>
  <c r="D123" i="6"/>
  <c r="E122" i="6"/>
  <c r="D122" i="6"/>
  <c r="E121" i="6"/>
  <c r="D121" i="6"/>
  <c r="D120" i="6"/>
  <c r="C120" i="6"/>
  <c r="E120" i="6" s="1"/>
  <c r="B120" i="6"/>
  <c r="E119" i="6"/>
  <c r="D119" i="6"/>
  <c r="E118" i="6"/>
  <c r="D118" i="6"/>
  <c r="E117" i="6"/>
  <c r="D117" i="6"/>
  <c r="D116" i="6"/>
  <c r="D115" i="6" s="1"/>
  <c r="D114" i="6" s="1"/>
  <c r="D113" i="6" s="1"/>
  <c r="D14" i="6" s="1"/>
  <c r="C115" i="6"/>
  <c r="E115" i="6" s="1"/>
  <c r="B115" i="6"/>
  <c r="B114" i="6" s="1"/>
  <c r="B113" i="6" s="1"/>
  <c r="B14" i="6" s="1"/>
  <c r="C114" i="6"/>
  <c r="E114" i="6" s="1"/>
  <c r="E109" i="6"/>
  <c r="D109" i="6"/>
  <c r="E108" i="6"/>
  <c r="D108" i="6"/>
  <c r="E107" i="6"/>
  <c r="D107" i="6"/>
  <c r="E106" i="6"/>
  <c r="D106" i="6"/>
  <c r="D105" i="6" s="1"/>
  <c r="C105" i="6"/>
  <c r="E105" i="6" s="1"/>
  <c r="B105" i="6"/>
  <c r="B45" i="6" s="1"/>
  <c r="B13" i="6" s="1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D96" i="6"/>
  <c r="E95" i="6"/>
  <c r="D95" i="6"/>
  <c r="D94" i="6" s="1"/>
  <c r="E94" i="6"/>
  <c r="C94" i="6"/>
  <c r="B94" i="6"/>
  <c r="E90" i="6"/>
  <c r="D90" i="6"/>
  <c r="E89" i="6"/>
  <c r="D89" i="6"/>
  <c r="E88" i="6"/>
  <c r="D88" i="6"/>
  <c r="D87" i="6"/>
  <c r="C87" i="6"/>
  <c r="E87" i="6" s="1"/>
  <c r="B87" i="6"/>
  <c r="E86" i="6"/>
  <c r="D86" i="6"/>
  <c r="E85" i="6"/>
  <c r="D85" i="6"/>
  <c r="E84" i="6"/>
  <c r="D84" i="6"/>
  <c r="E83" i="6"/>
  <c r="D83" i="6"/>
  <c r="D82" i="6"/>
  <c r="C82" i="6"/>
  <c r="E82" i="6" s="1"/>
  <c r="B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D74" i="6" s="1"/>
  <c r="E74" i="6"/>
  <c r="C74" i="6"/>
  <c r="B74" i="6"/>
  <c r="E73" i="6"/>
  <c r="D73" i="6"/>
  <c r="E72" i="6"/>
  <c r="D72" i="6"/>
  <c r="E71" i="6"/>
  <c r="D71" i="6"/>
  <c r="D70" i="6"/>
  <c r="C70" i="6"/>
  <c r="E70" i="6" s="1"/>
  <c r="B70" i="6"/>
  <c r="E69" i="6"/>
  <c r="D69" i="6"/>
  <c r="E68" i="6"/>
  <c r="D68" i="6"/>
  <c r="E67" i="6"/>
  <c r="D67" i="6"/>
  <c r="E66" i="6"/>
  <c r="D66" i="6"/>
  <c r="D64" i="6"/>
  <c r="C64" i="6"/>
  <c r="E64" i="6" s="1"/>
  <c r="B64" i="6"/>
  <c r="E58" i="6"/>
  <c r="D58" i="6"/>
  <c r="D55" i="6" s="1"/>
  <c r="E55" i="6"/>
  <c r="C55" i="6"/>
  <c r="B55" i="6"/>
  <c r="E54" i="6"/>
  <c r="D54" i="6"/>
  <c r="E53" i="6"/>
  <c r="D53" i="6"/>
  <c r="E52" i="6"/>
  <c r="D52" i="6"/>
  <c r="E51" i="6"/>
  <c r="D51" i="6"/>
  <c r="D50" i="6" s="1"/>
  <c r="E50" i="6"/>
  <c r="C50" i="6"/>
  <c r="B50" i="6"/>
  <c r="B49" i="6"/>
  <c r="E48" i="6"/>
  <c r="D48" i="6"/>
  <c r="E47" i="6"/>
  <c r="D47" i="6"/>
  <c r="D46" i="6" s="1"/>
  <c r="E46" i="6"/>
  <c r="C46" i="6"/>
  <c r="B46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D26" i="6" s="1"/>
  <c r="D12" i="6" s="1"/>
  <c r="C33" i="6"/>
  <c r="B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C26" i="6"/>
  <c r="B26" i="6"/>
  <c r="C20" i="6"/>
  <c r="B20" i="6"/>
  <c r="B18" i="6"/>
  <c r="C17" i="6"/>
  <c r="B17" i="6"/>
  <c r="E12" i="6"/>
  <c r="C12" i="6"/>
  <c r="B12" i="6"/>
  <c r="B16" i="6" s="1"/>
  <c r="A6" i="5"/>
  <c r="G1" i="5"/>
  <c r="F1" i="5"/>
  <c r="H1" i="5" s="1"/>
  <c r="J1" i="7" l="1"/>
  <c r="B4" i="7" s="1"/>
  <c r="Q1" i="7"/>
  <c r="L1" i="7" s="1"/>
  <c r="M1" i="7" s="1"/>
  <c r="B21" i="6"/>
  <c r="D45" i="6"/>
  <c r="D13" i="6" s="1"/>
  <c r="D16" i="6" s="1"/>
  <c r="D21" i="6" s="1"/>
  <c r="D49" i="6"/>
  <c r="D129" i="6"/>
  <c r="D128" i="6" s="1"/>
  <c r="D15" i="6" s="1"/>
  <c r="D190" i="6"/>
  <c r="D181" i="6" s="1"/>
  <c r="D18" i="6" s="1"/>
  <c r="C113" i="6"/>
  <c r="C49" i="6"/>
  <c r="C129" i="6"/>
  <c r="E182" i="6"/>
  <c r="C190" i="6"/>
  <c r="E190" i="6" s="1"/>
  <c r="C222" i="6"/>
  <c r="I1" i="5"/>
  <c r="J1" i="5"/>
  <c r="A5" i="5" s="1"/>
  <c r="E129" i="6" l="1"/>
  <c r="C128" i="6"/>
  <c r="C181" i="6"/>
  <c r="C221" i="6"/>
  <c r="E222" i="6"/>
  <c r="E49" i="6"/>
  <c r="C45" i="6"/>
  <c r="E113" i="6"/>
  <c r="E14" i="6" s="1"/>
  <c r="C14" i="6"/>
  <c r="C13" i="6" l="1"/>
  <c r="E45" i="6"/>
  <c r="E13" i="6" s="1"/>
  <c r="C18" i="6"/>
  <c r="E181" i="6"/>
  <c r="E18" i="6" s="1"/>
  <c r="C19" i="6"/>
  <c r="E221" i="6"/>
  <c r="E19" i="6" s="1"/>
  <c r="C15" i="6"/>
  <c r="E128" i="6"/>
  <c r="E15" i="6" s="1"/>
  <c r="C16" i="6" l="1"/>
  <c r="C21" i="6" l="1"/>
  <c r="E21" i="6" s="1"/>
  <c r="E16" i="6"/>
  <c r="A6" i="1" l="1"/>
  <c r="G1" i="1"/>
  <c r="J1" i="1" s="1"/>
  <c r="F1" i="1"/>
  <c r="H1" i="1" s="1"/>
  <c r="A5" i="1" l="1"/>
  <c r="I1" i="1"/>
  <c r="J30" i="2"/>
  <c r="D31" i="2"/>
  <c r="G29" i="2"/>
  <c r="H29" i="2"/>
  <c r="D28" i="2"/>
  <c r="E28" i="2"/>
  <c r="H26" i="2"/>
  <c r="I26" i="2"/>
  <c r="E25" i="2"/>
  <c r="F25" i="2"/>
  <c r="I23" i="2"/>
  <c r="J23" i="2"/>
  <c r="F22" i="2"/>
  <c r="G22" i="2"/>
  <c r="J20" i="2"/>
  <c r="D21" i="2"/>
  <c r="G19" i="2"/>
  <c r="H19" i="2"/>
  <c r="D18" i="2"/>
  <c r="E18" i="2"/>
  <c r="H16" i="2"/>
  <c r="I16" i="2"/>
  <c r="E15" i="2"/>
  <c r="H68" i="2"/>
  <c r="I68" i="2"/>
  <c r="E67" i="2"/>
  <c r="F67" i="2"/>
  <c r="I65" i="2"/>
  <c r="J65" i="2"/>
  <c r="F64" i="2"/>
  <c r="G64" i="2"/>
  <c r="G4" i="2"/>
  <c r="D8" i="2"/>
  <c r="E8" i="2"/>
  <c r="H6" i="2"/>
  <c r="I6" i="2"/>
  <c r="E5" i="2"/>
  <c r="J76" i="2"/>
  <c r="D77" i="2"/>
  <c r="G75" i="2"/>
  <c r="H75" i="2"/>
  <c r="D74" i="2"/>
  <c r="E74" i="2"/>
  <c r="H72" i="2"/>
  <c r="I72" i="2"/>
  <c r="E71" i="2"/>
  <c r="F71" i="2"/>
  <c r="I69" i="2"/>
  <c r="J69" i="2"/>
  <c r="F68" i="2"/>
  <c r="G68" i="2"/>
  <c r="J66" i="2"/>
  <c r="H12" i="2"/>
  <c r="I12" i="2"/>
  <c r="E11" i="2"/>
  <c r="F11" i="2"/>
  <c r="I9" i="2"/>
  <c r="J9" i="2"/>
  <c r="F8" i="2"/>
  <c r="G8" i="2"/>
  <c r="J6" i="2"/>
  <c r="D7" i="2"/>
  <c r="G5" i="2"/>
  <c r="E77" i="2"/>
  <c r="F77" i="2"/>
  <c r="I75" i="2"/>
  <c r="J75" i="2"/>
  <c r="F74" i="2"/>
  <c r="G74" i="2"/>
  <c r="J72" i="2"/>
  <c r="D73" i="2"/>
  <c r="G71" i="2"/>
  <c r="H71" i="2"/>
  <c r="D70" i="2"/>
  <c r="E70" i="2"/>
  <c r="F50" i="2"/>
  <c r="G50" i="2"/>
  <c r="J48" i="2"/>
  <c r="D49" i="2"/>
  <c r="G47" i="2"/>
  <c r="H47" i="2"/>
  <c r="D46" i="2"/>
  <c r="E46" i="2"/>
  <c r="J62" i="2"/>
  <c r="D63" i="2"/>
  <c r="G61" i="2"/>
  <c r="H61" i="2"/>
  <c r="D60" i="2"/>
  <c r="E60" i="2"/>
  <c r="H58" i="2"/>
  <c r="I58" i="2"/>
  <c r="E57" i="2"/>
  <c r="F57" i="2"/>
  <c r="I55" i="2"/>
  <c r="J55" i="2"/>
  <c r="F54" i="2"/>
  <c r="G54" i="2"/>
  <c r="J52" i="2"/>
  <c r="D53" i="2"/>
  <c r="G51" i="2"/>
  <c r="H51" i="2"/>
  <c r="D50" i="2"/>
  <c r="E50" i="2"/>
  <c r="H48" i="2"/>
  <c r="I48" i="2"/>
  <c r="E47" i="2"/>
  <c r="F47" i="2"/>
  <c r="G27" i="2"/>
  <c r="H27" i="2"/>
  <c r="D26" i="2"/>
  <c r="E26" i="2"/>
  <c r="H24" i="2"/>
  <c r="I24" i="2"/>
  <c r="E23" i="2"/>
  <c r="J19" i="2"/>
  <c r="G35" i="2"/>
  <c r="H35" i="2"/>
  <c r="D34" i="2"/>
  <c r="E34" i="2"/>
  <c r="H32" i="2"/>
  <c r="I32" i="2"/>
  <c r="E31" i="2"/>
  <c r="F31" i="2"/>
  <c r="I29" i="2"/>
  <c r="J29" i="2"/>
  <c r="F28" i="2"/>
  <c r="G28" i="2"/>
  <c r="J26" i="2"/>
  <c r="D27" i="2"/>
  <c r="G25" i="2"/>
  <c r="H25" i="2"/>
  <c r="D24" i="2"/>
  <c r="E24" i="2"/>
  <c r="H22" i="2"/>
  <c r="I22" i="2"/>
  <c r="E21" i="2"/>
  <c r="F21" i="2"/>
  <c r="I19" i="2"/>
  <c r="E73" i="2"/>
  <c r="F73" i="2"/>
  <c r="I71" i="2"/>
  <c r="J71" i="2"/>
  <c r="F70" i="2"/>
  <c r="G70" i="2"/>
  <c r="J68" i="2"/>
  <c r="D69" i="2"/>
  <c r="G2" i="2"/>
  <c r="D57" i="2"/>
  <c r="E54" i="2"/>
  <c r="F51" i="2"/>
  <c r="G48" i="2"/>
  <c r="H45" i="2"/>
  <c r="I42" i="2"/>
  <c r="H21" i="2"/>
  <c r="I10" i="2"/>
  <c r="J3" i="2"/>
  <c r="E4" i="2"/>
  <c r="F72" i="2"/>
  <c r="F65" i="2"/>
  <c r="F15" i="2"/>
  <c r="E40" i="2"/>
  <c r="F37" i="2"/>
  <c r="G34" i="2"/>
  <c r="H31" i="2"/>
  <c r="I28" i="2"/>
  <c r="J25" i="2"/>
  <c r="F76" i="2"/>
  <c r="G73" i="2"/>
  <c r="J5" i="2"/>
  <c r="E65" i="2"/>
  <c r="E41" i="2"/>
  <c r="I3" i="2"/>
  <c r="G20" i="2"/>
  <c r="H17" i="2"/>
  <c r="I14" i="2"/>
  <c r="J11" i="2"/>
  <c r="G67" i="2"/>
  <c r="H67" i="2"/>
  <c r="D66" i="2"/>
  <c r="E66" i="2"/>
  <c r="H64" i="2"/>
  <c r="I64" i="2"/>
  <c r="E63" i="2"/>
  <c r="F63" i="2"/>
  <c r="I61" i="2"/>
  <c r="J61" i="2"/>
  <c r="F60" i="2"/>
  <c r="G60" i="2"/>
  <c r="J58" i="2"/>
  <c r="D59" i="2"/>
  <c r="G57" i="2"/>
  <c r="H57" i="2"/>
  <c r="D56" i="2"/>
  <c r="E56" i="2"/>
  <c r="H54" i="2"/>
  <c r="I54" i="2"/>
  <c r="E53" i="2"/>
  <c r="F53" i="2"/>
  <c r="I51" i="2"/>
  <c r="J51" i="2"/>
  <c r="D32" i="2"/>
  <c r="E32" i="2"/>
  <c r="H30" i="2"/>
  <c r="I30" i="2"/>
  <c r="E29" i="2"/>
  <c r="F29" i="2"/>
  <c r="I27" i="2"/>
  <c r="J27" i="2"/>
  <c r="H44" i="2"/>
  <c r="I44" i="2"/>
  <c r="E43" i="2"/>
  <c r="F43" i="2"/>
  <c r="I41" i="2"/>
  <c r="J41" i="2"/>
  <c r="F40" i="2"/>
  <c r="G40" i="2"/>
  <c r="J38" i="2"/>
  <c r="D39" i="2"/>
  <c r="G37" i="2"/>
  <c r="H37" i="2"/>
  <c r="D36" i="2"/>
  <c r="E36" i="2"/>
  <c r="H34" i="2"/>
  <c r="I34" i="2"/>
  <c r="E33" i="2"/>
  <c r="F33" i="2"/>
  <c r="I31" i="2"/>
  <c r="J31" i="2"/>
  <c r="F30" i="2"/>
  <c r="E49" i="2"/>
  <c r="F49" i="2"/>
  <c r="I47" i="2"/>
  <c r="J47" i="2"/>
  <c r="F46" i="2"/>
  <c r="G46" i="2"/>
  <c r="J44" i="2"/>
  <c r="D45" i="2"/>
  <c r="G43" i="2"/>
  <c r="H43" i="2"/>
  <c r="D42" i="2"/>
  <c r="E42" i="2"/>
  <c r="H40" i="2"/>
  <c r="I40" i="2"/>
  <c r="E39" i="2"/>
  <c r="F39" i="2"/>
  <c r="I37" i="2"/>
  <c r="J37" i="2"/>
  <c r="F36" i="2"/>
  <c r="G36" i="2"/>
  <c r="J34" i="2"/>
  <c r="D35" i="2"/>
  <c r="G33" i="2"/>
  <c r="H33" i="2"/>
  <c r="I13" i="2"/>
  <c r="J13" i="2"/>
  <c r="F12" i="2"/>
  <c r="G12" i="2"/>
  <c r="J10" i="2"/>
  <c r="D11" i="2"/>
  <c r="G9" i="2"/>
  <c r="D3" i="2"/>
  <c r="F26" i="2"/>
  <c r="G26" i="2"/>
  <c r="J24" i="2"/>
  <c r="D25" i="2"/>
  <c r="G23" i="2"/>
  <c r="H23" i="2"/>
  <c r="D22" i="2"/>
  <c r="E22" i="2"/>
  <c r="H20" i="2"/>
  <c r="I20" i="2"/>
  <c r="E19" i="2"/>
  <c r="F19" i="2"/>
  <c r="I17" i="2"/>
  <c r="J17" i="2"/>
  <c r="F16" i="2"/>
  <c r="G16" i="2"/>
  <c r="J14" i="2"/>
  <c r="D15" i="2"/>
  <c r="G13" i="2"/>
  <c r="H13" i="2"/>
  <c r="D12" i="2"/>
  <c r="E12" i="2"/>
  <c r="H10" i="2"/>
  <c r="D64" i="2"/>
  <c r="E64" i="2"/>
  <c r="H62" i="2"/>
  <c r="I62" i="2"/>
  <c r="E61" i="2"/>
  <c r="F61" i="2"/>
  <c r="I59" i="2"/>
  <c r="J59" i="2"/>
  <c r="D72" i="2"/>
  <c r="E72" i="2"/>
  <c r="H70" i="2"/>
  <c r="I70" i="2"/>
  <c r="E69" i="2"/>
  <c r="F69" i="2"/>
  <c r="I67" i="2"/>
  <c r="J67" i="2"/>
  <c r="F66" i="2"/>
  <c r="G66" i="2"/>
  <c r="J64" i="2"/>
  <c r="D65" i="2"/>
  <c r="G63" i="2"/>
  <c r="H63" i="2"/>
  <c r="D62" i="2"/>
  <c r="E62" i="2"/>
  <c r="H60" i="2"/>
  <c r="I60" i="2"/>
  <c r="E59" i="2"/>
  <c r="F59" i="2"/>
  <c r="I57" i="2"/>
  <c r="J57" i="2"/>
  <c r="F56" i="2"/>
  <c r="G56" i="2"/>
  <c r="H36" i="2"/>
  <c r="I36" i="2"/>
  <c r="E35" i="2"/>
  <c r="F35" i="2"/>
  <c r="I33" i="2"/>
  <c r="J33" i="2"/>
  <c r="F32" i="2"/>
  <c r="G32" i="2"/>
  <c r="G58" i="2"/>
  <c r="H55" i="2"/>
  <c r="I52" i="2"/>
  <c r="J49" i="2"/>
  <c r="D47" i="2"/>
  <c r="E44" i="2"/>
  <c r="D23" i="2"/>
  <c r="E20" i="2"/>
  <c r="E14" i="2"/>
  <c r="F23" i="2"/>
  <c r="E6" i="2"/>
  <c r="H69" i="2"/>
  <c r="I39" i="2"/>
  <c r="F3" i="2"/>
  <c r="I38" i="2"/>
  <c r="J35" i="2"/>
  <c r="D33" i="2"/>
  <c r="E30" i="2"/>
  <c r="F27" i="2"/>
  <c r="I77" i="2"/>
  <c r="J74" i="2"/>
  <c r="F4" i="2"/>
  <c r="G69" i="2"/>
  <c r="F62" i="2"/>
  <c r="J36" i="2"/>
  <c r="J21" i="2"/>
  <c r="D19" i="2"/>
  <c r="E16" i="2"/>
  <c r="F13" i="2"/>
  <c r="G10" i="2"/>
  <c r="H7" i="2"/>
  <c r="D58" i="2"/>
  <c r="H5" i="2"/>
  <c r="G62" i="2"/>
  <c r="G15" i="2"/>
  <c r="I76" i="2"/>
  <c r="J28" i="2"/>
  <c r="E9" i="2"/>
  <c r="I7" i="2"/>
  <c r="F6" i="2"/>
  <c r="J4" i="2"/>
  <c r="E17" i="2"/>
  <c r="I15" i="2"/>
  <c r="F14" i="2"/>
  <c r="J12" i="2"/>
  <c r="G11" i="2"/>
  <c r="D10" i="2"/>
  <c r="H8" i="2"/>
  <c r="E7" i="2"/>
  <c r="I5" i="2"/>
  <c r="H77" i="2"/>
  <c r="E76" i="2"/>
  <c r="I74" i="2"/>
  <c r="D55" i="2"/>
  <c r="H53" i="2"/>
  <c r="E52" i="2"/>
  <c r="I50" i="2"/>
  <c r="G55" i="2"/>
  <c r="I49" i="2"/>
  <c r="D44" i="2"/>
  <c r="D20" i="2"/>
  <c r="G24" i="2"/>
  <c r="J70" i="2"/>
  <c r="H2" i="2"/>
  <c r="I35" i="2"/>
  <c r="D30" i="2"/>
  <c r="F24" i="2"/>
  <c r="H73" i="2"/>
  <c r="J63" i="2"/>
  <c r="I21" i="2"/>
  <c r="D16" i="2"/>
  <c r="F10" i="2"/>
  <c r="D6" i="2"/>
  <c r="H56" i="2"/>
  <c r="D4" i="2"/>
  <c r="D5" i="2"/>
  <c r="E75" i="2"/>
  <c r="E68" i="2"/>
  <c r="F41" i="2"/>
  <c r="H3" i="2"/>
  <c r="D67" i="2"/>
  <c r="H65" i="2"/>
  <c r="J45" i="2"/>
  <c r="G44" i="2"/>
  <c r="D43" i="2"/>
  <c r="H41" i="2"/>
  <c r="J53" i="2"/>
  <c r="G52" i="2"/>
  <c r="D51" i="2"/>
  <c r="H49" i="2"/>
  <c r="E48" i="2"/>
  <c r="I46" i="2"/>
  <c r="F45" i="2"/>
  <c r="J43" i="2"/>
  <c r="G42" i="2"/>
  <c r="D41" i="2"/>
  <c r="H39" i="2"/>
  <c r="E38" i="2"/>
  <c r="G18" i="2"/>
  <c r="D17" i="2"/>
  <c r="H15" i="2"/>
  <c r="H4" i="2"/>
  <c r="D54" i="2"/>
  <c r="F48" i="2"/>
  <c r="H42" i="2"/>
  <c r="H18" i="2"/>
  <c r="D2" i="2"/>
  <c r="H66" i="2"/>
  <c r="D40" i="2"/>
  <c r="F34" i="2"/>
  <c r="H28" i="2"/>
  <c r="J77" i="2"/>
  <c r="H9" i="2"/>
  <c r="D61" i="2"/>
  <c r="F20" i="2"/>
  <c r="H14" i="2"/>
  <c r="J8" i="2"/>
  <c r="G59" i="2"/>
  <c r="I56" i="2"/>
  <c r="I4" i="2"/>
  <c r="I2" i="2"/>
  <c r="I73" i="2"/>
  <c r="I66" i="2"/>
  <c r="F38" i="2"/>
  <c r="G30" i="2"/>
  <c r="D29" i="2"/>
  <c r="F9" i="2"/>
  <c r="J7" i="2"/>
  <c r="G6" i="2"/>
  <c r="H76" i="2"/>
  <c r="F17" i="2"/>
  <c r="J15" i="2"/>
  <c r="G14" i="2"/>
  <c r="D13" i="2"/>
  <c r="H11" i="2"/>
  <c r="E10" i="2"/>
  <c r="I8" i="2"/>
  <c r="F7" i="2"/>
  <c r="G77" i="2"/>
  <c r="D76" i="2"/>
  <c r="H74" i="2"/>
  <c r="J54" i="2"/>
  <c r="G53" i="2"/>
  <c r="D52" i="2"/>
  <c r="H50" i="2"/>
  <c r="F58" i="2"/>
  <c r="H52" i="2"/>
  <c r="J46" i="2"/>
  <c r="J22" i="2"/>
  <c r="F2" i="2"/>
  <c r="J2" i="2"/>
  <c r="J60" i="2"/>
  <c r="H38" i="2"/>
  <c r="J32" i="2"/>
  <c r="E27" i="2"/>
  <c r="G76" i="2"/>
  <c r="J73" i="2"/>
  <c r="J39" i="2"/>
  <c r="J18" i="2"/>
  <c r="E13" i="2"/>
  <c r="D9" i="2"/>
  <c r="H59" i="2"/>
  <c r="E55" i="2"/>
  <c r="F5" i="2"/>
  <c r="E3" i="2"/>
  <c r="G72" i="2"/>
  <c r="I63" i="2"/>
  <c r="D37" i="2"/>
  <c r="G65" i="2"/>
  <c r="I45" i="2"/>
  <c r="F44" i="2"/>
  <c r="J42" i="2"/>
  <c r="G41" i="2"/>
  <c r="I53" i="2"/>
  <c r="F52" i="2"/>
  <c r="J50" i="2"/>
  <c r="G49" i="2"/>
  <c r="D48" i="2"/>
  <c r="H46" i="2"/>
  <c r="E45" i="2"/>
  <c r="I43" i="2"/>
  <c r="F42" i="2"/>
  <c r="J40" i="2"/>
  <c r="G39" i="2"/>
  <c r="D38" i="2"/>
  <c r="F18" i="2"/>
  <c r="J16" i="2"/>
  <c r="D14" i="2"/>
  <c r="J56" i="2"/>
  <c r="E51" i="2"/>
  <c r="G45" i="2"/>
  <c r="G21" i="2"/>
  <c r="I18" i="2"/>
  <c r="F75" i="2"/>
  <c r="G38" i="2"/>
  <c r="E37" i="2"/>
  <c r="G31" i="2"/>
  <c r="I25" i="2"/>
  <c r="D75" i="2"/>
  <c r="D68" i="2"/>
  <c r="E2" i="2"/>
  <c r="G17" i="2"/>
  <c r="I11" i="2"/>
  <c r="G7" i="2"/>
  <c r="E58" i="2"/>
  <c r="F55" i="2"/>
  <c r="G3" i="2"/>
  <c r="D71" i="2"/>
</calcChain>
</file>

<file path=xl/comments1.xml><?xml version="1.0" encoding="utf-8"?>
<comments xmlns="http://schemas.openxmlformats.org/spreadsheetml/2006/main">
  <authors>
    <author>dora ramirez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dora ramirez:</t>
        </r>
        <r>
          <rPr>
            <sz val="9"/>
            <color indexed="81"/>
            <rFont val="Tahoma"/>
            <charset val="1"/>
          </rPr>
          <t xml:space="preserve">
Nombre del ente público que corresponda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dora ramirez:</t>
        </r>
        <r>
          <rPr>
            <sz val="9"/>
            <color indexed="81"/>
            <rFont val="Tahoma"/>
            <charset val="1"/>
          </rPr>
          <t xml:space="preserve">
 Fecha del 1 de Enero al periodo que se este informando.</t>
        </r>
      </text>
    </comment>
  </commentList>
</comments>
</file>

<file path=xl/comments2.xml><?xml version="1.0" encoding="utf-8"?>
<comments xmlns="http://schemas.openxmlformats.org/spreadsheetml/2006/main">
  <authors>
    <author>dora ramirez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dora ramirez:</t>
        </r>
        <r>
          <rPr>
            <sz val="9"/>
            <color indexed="81"/>
            <rFont val="Tahoma"/>
            <charset val="1"/>
          </rPr>
          <t xml:space="preserve">
Nombre del ente publico que corresponda</t>
        </r>
      </text>
    </comment>
    <comment ref="B4" authorId="0" shapeId="0">
      <text>
        <r>
          <rPr>
            <b/>
            <sz val="9"/>
            <color indexed="81"/>
            <rFont val="Tahoma"/>
            <charset val="1"/>
          </rPr>
          <t>dora ramirez:</t>
        </r>
        <r>
          <rPr>
            <sz val="9"/>
            <color indexed="81"/>
            <rFont val="Tahoma"/>
            <charset val="1"/>
          </rPr>
          <t xml:space="preserve">
Del 1 de enero al cierre del periodo a revisar </t>
        </r>
      </text>
    </comment>
  </commentList>
</comments>
</file>

<file path=xl/sharedStrings.xml><?xml version="1.0" encoding="utf-8"?>
<sst xmlns="http://schemas.openxmlformats.org/spreadsheetml/2006/main" count="853" uniqueCount="470">
  <si>
    <t>GOBIERNO DEL ESTADO DE SONORA</t>
  </si>
  <si>
    <t>Rubro de Ingresos</t>
  </si>
  <si>
    <t>CRI</t>
  </si>
  <si>
    <t>Ingreso</t>
  </si>
  <si>
    <t>Estimado</t>
  </si>
  <si>
    <t>Ampliaciones y 
Reducciones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</si>
  <si>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</si>
  <si>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</si>
  <si>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</si>
  <si>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</si>
  <si>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</si>
  <si>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</si>
  <si>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</si>
  <si>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</si>
  <si>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</si>
  <si>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</si>
  <si>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</si>
  <si>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</si>
  <si>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</si>
  <si>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</si>
  <si>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</si>
  <si>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</si>
  <si>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</si>
  <si>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</si>
  <si>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Derivados de Financiamientos</t>
  </si>
  <si>
    <t>Total</t>
  </si>
  <si>
    <r>
      <t xml:space="preserve">Ingresos excedentes 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</si>
  <si>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</rPr>
      <t>1</t>
    </r>
    <r>
      <rPr>
        <sz val="10"/>
        <rFont val="Arial"/>
        <family val="2"/>
      </rPr>
      <t xml:space="preserve"> Los ingresos excedentes se presentan para efectos de cumplimiento de la Ley General de Contabilidad Gubernamental y el importe reflejado debe ser siempre mayor a cero.</t>
    </r>
  </si>
  <si>
    <t>Ingresos del Gobierno</t>
  </si>
  <si>
    <t>Recursos Fiscales</t>
  </si>
  <si>
    <t>Recursos Federales</t>
  </si>
  <si>
    <t>Recursos Estatales</t>
  </si>
  <si>
    <t>Ingresos Derivados de Financiamiento</t>
  </si>
  <si>
    <t>Financiamientos internos</t>
  </si>
  <si>
    <t>Estado Analítico de Ingresos por Fuente de Financiamiento</t>
  </si>
  <si>
    <t>Ingresos de Organismos y Empresas</t>
  </si>
  <si>
    <t>Cuotas y aportaciones de Seguridad Social</t>
  </si>
  <si>
    <t>Ingresos por Ventas de Bienes y Servicios</t>
  </si>
  <si>
    <t>Financiamiento Interno</t>
  </si>
  <si>
    <t>(6=5-1)</t>
  </si>
  <si>
    <t>Otros Recursos</t>
  </si>
  <si>
    <t>Ingresos Propios</t>
  </si>
  <si>
    <t>Rubro CRI</t>
  </si>
  <si>
    <t>Tipo CRI</t>
  </si>
  <si>
    <t>Fuente de Financiamiento</t>
  </si>
  <si>
    <t>0</t>
  </si>
  <si>
    <t>1</t>
  </si>
  <si>
    <t>2</t>
  </si>
  <si>
    <t/>
  </si>
  <si>
    <t>Resultado</t>
  </si>
  <si>
    <t>3</t>
  </si>
  <si>
    <t>5</t>
  </si>
  <si>
    <t>7</t>
  </si>
  <si>
    <t>8</t>
  </si>
  <si>
    <t>9</t>
  </si>
  <si>
    <t>4</t>
  </si>
  <si>
    <t>6</t>
  </si>
  <si>
    <t>P</t>
  </si>
  <si>
    <t>O</t>
  </si>
  <si>
    <t>#</t>
  </si>
  <si>
    <t>Resultado total</t>
  </si>
  <si>
    <t xml:space="preserve">
Ingresos 
Estimado Anual</t>
  </si>
  <si>
    <t xml:space="preserve">
Ampliaciones y Reducciones</t>
  </si>
  <si>
    <t xml:space="preserve">
Ingresos Modificado</t>
  </si>
  <si>
    <t xml:space="preserve">
Ingresos Devengado</t>
  </si>
  <si>
    <t xml:space="preserve">
Ingresos Recaudado</t>
  </si>
  <si>
    <t xml:space="preserve">
% de Avance de
la Recaudación</t>
  </si>
  <si>
    <t xml:space="preserve">
Ingresos Excedentes</t>
  </si>
  <si>
    <t>Recursos Propios</t>
  </si>
  <si>
    <t>2017</t>
  </si>
  <si>
    <t>11/11/2017</t>
  </si>
  <si>
    <t>1..9</t>
  </si>
  <si>
    <t>20/07/2016 19:05:26</t>
  </si>
  <si>
    <t>Estado Analítico de Ingresos por Rubro</t>
  </si>
  <si>
    <t>Cuotas y Aportaciones de Seguridad Social</t>
  </si>
  <si>
    <t>SUBSECRETARIA DE INGRESOS</t>
  </si>
  <si>
    <t>COMPARATIVO DE INGRESOS DE ENERO A SEPTIEMBRE 2017</t>
  </si>
  <si>
    <t>RUBRO</t>
  </si>
  <si>
    <t>PRESUPUESTO</t>
  </si>
  <si>
    <t>RECAUDADO</t>
  </si>
  <si>
    <t>POR ALCANZAR</t>
  </si>
  <si>
    <t>% AVANCE</t>
  </si>
  <si>
    <t>IMPUESTOS</t>
  </si>
  <si>
    <t>DERECHOS</t>
  </si>
  <si>
    <t>PRODUCTOS</t>
  </si>
  <si>
    <t>APROVECHAMIENTOS</t>
  </si>
  <si>
    <t>TOTAL INGRESOS FISCALES ESTATALES</t>
  </si>
  <si>
    <t>INGRESOS POR VENTA DE BIENES Y SERVICIOS</t>
  </si>
  <si>
    <t>PARTICIPACIONES Y APORTACIONES FEDERALES</t>
  </si>
  <si>
    <t>TRANSFERENCIAS, ASIGNACIONES, SUBSIDIOS Y OTRAS AYUDAS</t>
  </si>
  <si>
    <t>INGRESOS DERIVADOS DE FINANCIMIENTOS</t>
  </si>
  <si>
    <t xml:space="preserve">TOTAL  INGRESOS  </t>
  </si>
  <si>
    <t>Impuesto Estatal Sobre los Ingresos Derivados por la Obtención de Premios.</t>
  </si>
  <si>
    <t>Impuesto Sobre Traslación de Dominio de Bienes Muebles.</t>
  </si>
  <si>
    <t>Impuestos General al Comercio, Industria y Prestación de Servicios.</t>
  </si>
  <si>
    <t>Impuesto Estatal por La Prestación de Servicios de Juegos con Apuestas y Concursos</t>
  </si>
  <si>
    <t xml:space="preserve">Impuesto por la Prestación de Servicios de Hospedaje </t>
  </si>
  <si>
    <t>Impuesto Sobre Remuneraciones al Trabajo Personal.</t>
  </si>
  <si>
    <t>Accesorios</t>
  </si>
  <si>
    <t>Recargos</t>
  </si>
  <si>
    <t>Multas</t>
  </si>
  <si>
    <t>Gastos de ejecución</t>
  </si>
  <si>
    <t>Impuesto para el Sostenimiento de la Universidades de Sonora.</t>
  </si>
  <si>
    <t>Contribuciones para el Consejo Estatal de Concertación para la Obra Pública</t>
  </si>
  <si>
    <t xml:space="preserve">Contribución  para  el  Fortalecimiento  de  la Infraestructura Educativa </t>
  </si>
  <si>
    <t xml:space="preserve">Contribución  para  el  Fortalecimiento  y Sostenimiento para la Cruz Roja  </t>
  </si>
  <si>
    <t>Impuestos no comprendidos en las fracciones de la Ley de Ingresos causados en ejercicios fiscales anteriores pendientes de liquidación o pago</t>
  </si>
  <si>
    <t>Derechos por el uso, goce, aprovechamiento o explotación de bienes del dominio público.</t>
  </si>
  <si>
    <t>Concesiones de Bienes Inmuebles.</t>
  </si>
  <si>
    <t>Arrendamiento de Bienes Inmuebles.</t>
  </si>
  <si>
    <t>Derechos por Prestación de Servicios</t>
  </si>
  <si>
    <t>Por servicios de expedición y revalidación de licencias para la venta de bebidas con contenido alcohólico.</t>
  </si>
  <si>
    <t>Por expedición de licencias para la venta de bebidas con contenido alcohólico</t>
  </si>
  <si>
    <t>Por revalidación de licencias para la venta de bebidas con contenido alcohólico</t>
  </si>
  <si>
    <t>Por otros servicios de la Dirección General de Alcoholes</t>
  </si>
  <si>
    <t>Canje de licencias de alcoholes</t>
  </si>
  <si>
    <t>Por servicios de ganadería.</t>
  </si>
  <si>
    <t>Por producción ganadera</t>
  </si>
  <si>
    <t>Por producción apícola</t>
  </si>
  <si>
    <t>Por clasificación de carnes</t>
  </si>
  <si>
    <t>Por acreditación de expendio de carnes clasificadas</t>
  </si>
  <si>
    <t>Por servicio de expedición e inscripción de títulos y autorización para ejercer cualquier profesión o especialidad.</t>
  </si>
  <si>
    <t>Por expedición de títulos profesionales en el Estado</t>
  </si>
  <si>
    <t>Por inscripción de títulos profesionales expedidos por otros Estados.</t>
  </si>
  <si>
    <t>Por autorización para ejercer cualquier profesión o especialidad y prórrogas que se otorguen</t>
  </si>
  <si>
    <t>Por servicios de certificaciones, constancias y autorizaciones</t>
  </si>
  <si>
    <t>Por servicios de expedición, reposición y revalidación anual de cédula para acreditar la inscripción en el Registro Único de Personas acreditadas.</t>
  </si>
  <si>
    <t>Por servicios de constancias de Archivo, Anuencias y Certificaciones</t>
  </si>
  <si>
    <t>Por servicios de reproducción de documentos de conformidad con la Ley de Acceso a la Información Pública.</t>
  </si>
  <si>
    <t>Por servicios prestados por la Dirección General de Notarias del Estado</t>
  </si>
  <si>
    <t>Por servicios de documentación y archivo</t>
  </si>
  <si>
    <t>Por servicios de publicación y suscripciones en el Boletín Oficial</t>
  </si>
  <si>
    <t>Por servicios de publicación</t>
  </si>
  <si>
    <t>Por suscripciones  y venta unitaria de Boletines Oficiales</t>
  </si>
  <si>
    <t>Por copias,  certificaciones y otros servicios</t>
  </si>
  <si>
    <t>Por servicios de expedición de placas de vehículos, revalidaciones, licencias para conducir y permisos.</t>
  </si>
  <si>
    <t xml:space="preserve">Por expedición de placas de circulación </t>
  </si>
  <si>
    <t>Por revalidación de placas de circulación</t>
  </si>
  <si>
    <t>Por expedición de licencias de conducir</t>
  </si>
  <si>
    <t>Otros servicios vehiculares</t>
  </si>
  <si>
    <t>Por Expedición de Tarjeta de Circulacion</t>
  </si>
  <si>
    <t>Verificacion de Pedimento de Importacion y/o Factura</t>
  </si>
  <si>
    <t>Verificacion de Serie</t>
  </si>
  <si>
    <t>Por servicios en materia de autotransporte y otros</t>
  </si>
  <si>
    <t>Por expedición o adjudicación de concesiones</t>
  </si>
  <si>
    <t>Por revisión anual de concesión</t>
  </si>
  <si>
    <t>Por expedición de permisos</t>
  </si>
  <si>
    <t>Por otros servicios en materia de autotransporte</t>
  </si>
  <si>
    <t>Por servicios del Registro Público de la Propiedad y del Comercio</t>
  </si>
  <si>
    <t>Servicios ordinarios</t>
  </si>
  <si>
    <t>Servicios urgentes</t>
  </si>
  <si>
    <t>Por servicios del Registro Civil</t>
  </si>
  <si>
    <t>Por servicios prestados por el Instituto Catastral y Registral, Secretaría de Infraestructura y Desarrollo Urbano, Comisión de Ecología y Desarrollo Sustentable, Secretaría de Salud Pública y Secretaría de Educación y Cultura</t>
  </si>
  <si>
    <t>Por servicios catastrales</t>
  </si>
  <si>
    <t>Por servicios prestados por la Secretaría de Infraestructura y Desarrollo Urbano</t>
  </si>
  <si>
    <t>Por servicios prestados por la Comisión de Ecología y Desarrollo Sustentable</t>
  </si>
  <si>
    <t xml:space="preserve">Por servicios prestados por la Secretaría de Salud </t>
  </si>
  <si>
    <t>Por servicios prestados por la Secretaría de Educación y Cultura</t>
  </si>
  <si>
    <t>Por servicios prestados por el Secretario Ejecutivo de Seguridad Pública</t>
  </si>
  <si>
    <t>Por servicio prestados por la Secretaria de la Contraloría General.</t>
  </si>
  <si>
    <t>Por servicios prestados por la Unidad Estatal de Protección Civil</t>
  </si>
  <si>
    <t>Por servicios prestados por la Procuraduria General de Justicia del Estado</t>
  </si>
  <si>
    <t>Otros Servicios</t>
  </si>
  <si>
    <t>Derechos no comprendidos en las fracciones de la Ley de Ingresos causados en ejercicios fiscales anteriores pendientes de liquidación o pago.</t>
  </si>
  <si>
    <t>Productos de tipo corriente</t>
  </si>
  <si>
    <t>Derivados del Uso y Aprovechamiento de bienes no sujetos a régimen de dominio público.</t>
  </si>
  <si>
    <t>Enajenación de bienes muebles</t>
  </si>
  <si>
    <t>Arrendamiento de bienes inmuebles</t>
  </si>
  <si>
    <t>Utilidades, Dividendos e Intereses</t>
  </si>
  <si>
    <t>Otros productos de tipo corriente</t>
  </si>
  <si>
    <t>Productos de Capital</t>
  </si>
  <si>
    <t>Enajenación de bienes inmuebles no sujetos a régimen de dominio público</t>
  </si>
  <si>
    <t>Enajenación de bienes muebles  sujetos a inventarios</t>
  </si>
  <si>
    <t>Venta de acciones y valores</t>
  </si>
  <si>
    <t>Productos no comprendidos en las fracciones de la Ley de Ingresos causados en ejercicios fiscales anteriores pendientes de liquidación o pago</t>
  </si>
  <si>
    <t>Aprovechamientos de tipo corriente</t>
  </si>
  <si>
    <t>Incentivos derivados de la colaboración fiscal</t>
  </si>
  <si>
    <t>Actos de fiscalización sobre impuestos federales</t>
  </si>
  <si>
    <t>Notificación y cobranza de impuestos federales</t>
  </si>
  <si>
    <t>Creditos Fiscales Transferidos</t>
  </si>
  <si>
    <t>Incentivos económicos por recaudación del Impuesto Sobre la Renta derivado de la enajenación de terrenos y construcciones.</t>
  </si>
  <si>
    <t>Por actos en materia de comercio exterior.</t>
  </si>
  <si>
    <t>Impuesto Sobre Automóviles Nuevos.</t>
  </si>
  <si>
    <t>Fondo de Compensación para el resarcimiento por disminución del Impuesto Sobre Automóviles Nuevos</t>
  </si>
  <si>
    <t>Fondo de compesacion del Regimen de Pequeños Contribuyentes</t>
  </si>
  <si>
    <t>Impuesto Especial sobre Producción y Servicios a la Gasolina y Diesel, Artículo 2° A, fracción II</t>
  </si>
  <si>
    <t>Por funciones operativas de administración de los derechos federales en materia de vida silvestre</t>
  </si>
  <si>
    <t>Por funciones operativas de administración de los derechos por pesca deportiva y recreativa</t>
  </si>
  <si>
    <t>Incentivos económicos por recaudación de derechos federales por la inspección y vigilancia de obras públicas</t>
  </si>
  <si>
    <t>Multas federales no fiscales</t>
  </si>
  <si>
    <t xml:space="preserve">Incentivo economico derivado de la Zona Federal Maritimo Terrestre </t>
  </si>
  <si>
    <t>Incentivos del regimen de incorporacion fiscal</t>
  </si>
  <si>
    <t>Multas administrativas estatales</t>
  </si>
  <si>
    <t>Multas federales</t>
  </si>
  <si>
    <t>Indemnizaciones</t>
  </si>
  <si>
    <t>Reintegros</t>
  </si>
  <si>
    <t>Reintegros de sueldos y prestaciones laborales</t>
  </si>
  <si>
    <t>Aprovechamientos Provenientes de Obras Publicas</t>
  </si>
  <si>
    <t>Recargos federales</t>
  </si>
  <si>
    <t>Otros reintegros</t>
  </si>
  <si>
    <t>Herencias vacantes</t>
  </si>
  <si>
    <t>Aprovechamientos por Cooperaciones</t>
  </si>
  <si>
    <t>Ingresos provenientes de ejercicios fiscales anteriores</t>
  </si>
  <si>
    <t>Otros Aprovechamientos</t>
  </si>
  <si>
    <t>Donativos</t>
  </si>
  <si>
    <t>Venta de bases de licitación</t>
  </si>
  <si>
    <t>Ingresos por pólizas de seguros</t>
  </si>
  <si>
    <t>Holograma Only Sonora</t>
  </si>
  <si>
    <t>Cuotas condominales</t>
  </si>
  <si>
    <t>Ajuste por redondeo en bancos</t>
  </si>
  <si>
    <t>Aprovechamientos diversos</t>
  </si>
  <si>
    <t>Ingreso derivado del estimulo fiscal de ISR</t>
  </si>
  <si>
    <t>Aportaciones voluntarias</t>
  </si>
  <si>
    <t>Otros aprovechamientos</t>
  </si>
  <si>
    <t>Aprovechamientos de Capital</t>
  </si>
  <si>
    <t>Aprovechamientos no comprendidos en las fracciones de la Ley de Ingresos causados en ejercicios fiscales anteriores pendientes de liquidación o pago</t>
  </si>
  <si>
    <t>Mantenimiento y conservación del Programa Urbano Multifinalitario y del Catastro</t>
  </si>
  <si>
    <t>PARTICIPACIONES Y APORTACIONES</t>
  </si>
  <si>
    <t>Participaciones</t>
  </si>
  <si>
    <t>Fondo General de Participaciones</t>
  </si>
  <si>
    <t>Fondo de Fiscalización</t>
  </si>
  <si>
    <t>Fondo de Fomento Municipal</t>
  </si>
  <si>
    <t>Fondo de Impuestos Especiales sobre Producción y Servicios</t>
  </si>
  <si>
    <t>Participación ISR retenido a personal subsordinado  a dependencias de la entidad federativa, mpios. y organismos.</t>
  </si>
  <si>
    <t>Aportaciones</t>
  </si>
  <si>
    <t>Fondo de Aportaciones para la Nómina Educativa y Gasto Operativo</t>
  </si>
  <si>
    <t>Otro de Gasto Corriente</t>
  </si>
  <si>
    <t xml:space="preserve">Gasto de Operación </t>
  </si>
  <si>
    <t xml:space="preserve">Fondo de Compensacion </t>
  </si>
  <si>
    <t xml:space="preserve">Servicios Personales </t>
  </si>
  <si>
    <t>Fondo de Aportaciones para los Servicios de Salud</t>
  </si>
  <si>
    <t>Fondo de Aportaciones para la Infraestructura Social</t>
  </si>
  <si>
    <t>Fondo para la Infraestructura Social Municipal</t>
  </si>
  <si>
    <t>Fondo para la Infraestructura Social Estatal</t>
  </si>
  <si>
    <t>Fondo de Aportaciones para el Fortalecimiento de los Municipios y de las Demarcaciones Territoriales del Distrito Federal</t>
  </si>
  <si>
    <t>Fondo de Aportaciones Múltiples</t>
  </si>
  <si>
    <t>Asistencia Social .- DIF</t>
  </si>
  <si>
    <t>Infraestructura para Educación Básica</t>
  </si>
  <si>
    <t>Infraestructura para Educación Superior</t>
  </si>
  <si>
    <t>Infraestructura para Educación Media Superior</t>
  </si>
  <si>
    <t>Infraestructura para Educación Básica Potenciada</t>
  </si>
  <si>
    <t>Infraestructura para Educación Superior Potenciada</t>
  </si>
  <si>
    <t>Infraestructura para Educación Media Superior Potenciada</t>
  </si>
  <si>
    <t>Fondo de Aportaciones para la Seguridad Pública</t>
  </si>
  <si>
    <t>Fondo de Aportaciones para la Educación Tecnológica y de Adultos</t>
  </si>
  <si>
    <t>Educación Tecnológica</t>
  </si>
  <si>
    <t>Educación de Adultos</t>
  </si>
  <si>
    <t>Fondo de Aportaciones para el Fortalecimiento de las Entidades Federativas</t>
  </si>
  <si>
    <t>Convenios</t>
  </si>
  <si>
    <t>Convenios de Descentralización y Reasignación de Recursos</t>
  </si>
  <si>
    <t>Ingresos Propios de las Entidades Paraestatales</t>
  </si>
  <si>
    <t>Organismos Públicos  Descentralizados</t>
  </si>
  <si>
    <t>Financiera para el Desarrollo Economico de Sonora</t>
  </si>
  <si>
    <t>Instituto de Crédito Educativo del Estado de Sonora</t>
  </si>
  <si>
    <t>Instituto Tecnológico Superior de Puerto Peñasco</t>
  </si>
  <si>
    <t>Instituto Tecnológico Superior de Cananea</t>
  </si>
  <si>
    <t>Instituto Sonorense de Cultura</t>
  </si>
  <si>
    <t>Instituto Tecnológico Superior de Cajeme</t>
  </si>
  <si>
    <t>Biblioteca Publica Jesus Corral Ruiz</t>
  </si>
  <si>
    <t>Universidad Estatal de Sonora</t>
  </si>
  <si>
    <t>Comisión del deporte del Estado de Sonora</t>
  </si>
  <si>
    <t>Instituto de Capacitación para el Trabajo del Estado de Sonora</t>
  </si>
  <si>
    <t>Colegio de Bachilleres del Estado de Sonora</t>
  </si>
  <si>
    <t>Colegio de Estudios Científicos y Tecnológicos del Estado de Sonora</t>
  </si>
  <si>
    <t>Colegio de Educación Profesional Técnica del Estado de Sonora</t>
  </si>
  <si>
    <t>Instituto de Formación Docente del Estado de Sonora</t>
  </si>
  <si>
    <t>Instituto Sonorense de Infraestructura Educativa</t>
  </si>
  <si>
    <t>Universidad Tecnológica de Hermosillo</t>
  </si>
  <si>
    <t>Universidad Tecnológica de Nogales</t>
  </si>
  <si>
    <t>Universidad Tecnológica del Sur de Sonora</t>
  </si>
  <si>
    <t>Universidad de la Sierra</t>
  </si>
  <si>
    <t>Servicios de Salud de Sonora</t>
  </si>
  <si>
    <t>Sistema para el Desarrollo Integral de la Familia en el Estado de Sonora</t>
  </si>
  <si>
    <t>Comisión de Ecología y desarrollo Sustentable de Estado de Sonora</t>
  </si>
  <si>
    <t>Comisión Estatal de Agua</t>
  </si>
  <si>
    <t>Telefonía Rural de Sonora</t>
  </si>
  <si>
    <t>Instituto de Acuacultura del Estado de Sonora</t>
  </si>
  <si>
    <t>Radio Sonora</t>
  </si>
  <si>
    <t>Instituto Tecnológico de Sonora</t>
  </si>
  <si>
    <t>Instituto Sonorense de Educación para Adultos</t>
  </si>
  <si>
    <t>El Colegio de Sonora</t>
  </si>
  <si>
    <t>Instituto Superior de Seguridad Publica del Estado</t>
  </si>
  <si>
    <t>Junta de Caminos del Estado de Sonora</t>
  </si>
  <si>
    <t>Centro Cultural Musas</t>
  </si>
  <si>
    <t>Museo Sonora en la Revolucion</t>
  </si>
  <si>
    <t>Instituto Sonorese de la Juventud</t>
  </si>
  <si>
    <t>Universidad Tecnologica de Etchojoa</t>
  </si>
  <si>
    <t>Universidad Tecnologica de Puerto Peñasco</t>
  </si>
  <si>
    <t>Universidad Tecnologica de San Luis Rio Colorado</t>
  </si>
  <si>
    <t>Delfinario Sonora</t>
  </si>
  <si>
    <t>Fondo de Operación de Obras Sonora Si</t>
  </si>
  <si>
    <t>Centro de Evaluacion y Control de Confianza C-3</t>
  </si>
  <si>
    <t>Servicio de Administración y Enajenación de Entidades del Gobierno del Estado</t>
  </si>
  <si>
    <t>Sistema de Parques Industriales</t>
  </si>
  <si>
    <t>Procuraduria Ambiental  del Estado de Sonora</t>
  </si>
  <si>
    <t>Universidad Tecnológica de Guaymas</t>
  </si>
  <si>
    <t>Centro Regional de Formación Docente  e Investigación Educativa</t>
  </si>
  <si>
    <t>Servicios Educativos del Estado de Sonora</t>
  </si>
  <si>
    <t>Instituto de Becas y Estimulos Educativos del Estado de Sonora</t>
  </si>
  <si>
    <t>Comisión de Vivienda del Estado de Sonora</t>
  </si>
  <si>
    <t>Fondo Estatal para la Modernización del Transporte</t>
  </si>
  <si>
    <t>Consejo para la Promoción Economíca de Sonora</t>
  </si>
  <si>
    <t>Instituto Sonorense de la Mujer</t>
  </si>
  <si>
    <t>Centro Regional de Formación Profesional Docente de Sonora</t>
  </si>
  <si>
    <t>Consejo Estatal de Ciencia y Tecnología</t>
  </si>
  <si>
    <t>Fideicomisos</t>
  </si>
  <si>
    <t>Progreso, Fideicomiso Promotor Urbano de Sonora.</t>
  </si>
  <si>
    <t>Operador de Proyectos Estratégicos del Estado (IMPULSOR).</t>
  </si>
  <si>
    <t>Fondo Revolvente del Estado de Sonora</t>
  </si>
  <si>
    <t>Fideicomiso Puente Colorado</t>
  </si>
  <si>
    <t>Aportaciones de Seguridad Social</t>
  </si>
  <si>
    <t>Instituto de Seguridad y Servicios Sociales para los Trabajadores del Estado de Sonora</t>
  </si>
  <si>
    <t>Empresas de Participación Estatal Mayoritaria</t>
  </si>
  <si>
    <t>Televisora de Hermosillo, S. A. de C. V.</t>
  </si>
  <si>
    <t>Transferencias al Resto del Sector Público</t>
  </si>
  <si>
    <t>Subsidios y Subvenciones</t>
  </si>
  <si>
    <t>Aportación Federal al Régimen Estatal de Protección Social en Salud</t>
  </si>
  <si>
    <t>Para alimentación de reos y dignificación penitenciaria. Socorro de Ley</t>
  </si>
  <si>
    <t>Programas Regionales</t>
  </si>
  <si>
    <t>Fondo para la Prevención de Desastres Naturales</t>
  </si>
  <si>
    <t>Subsidio para la Seguridad Pública Municipal</t>
  </si>
  <si>
    <t>Fondo para la Accesibilidad del Transporte Público para Personas con Discapacidad</t>
  </si>
  <si>
    <t>Proyectos de Desarrollo Regional</t>
  </si>
  <si>
    <t>Fideicomiso para Coadyuvar al Desarrollo de las Entidades Federativas y Municipios (FIDEM)</t>
  </si>
  <si>
    <t>Fondo de Desastres Naturales</t>
  </si>
  <si>
    <t xml:space="preserve">Fideicomiso para la Infraestructura en los Estados </t>
  </si>
  <si>
    <t>Subsidio a las Entidades Federativas para el Fortalecimiento de las Instituciones de Seguridad Publica para Mandos Policiales</t>
  </si>
  <si>
    <t>Contingencias Economicas Inversión</t>
  </si>
  <si>
    <t>Fondo de Infraestructura Deportiva (2015)</t>
  </si>
  <si>
    <t>Fondo de Inversión para Entidades Federativas</t>
  </si>
  <si>
    <t>Fondo de Apoyo en Infrastructura y productividad</t>
  </si>
  <si>
    <t>Fondo para el fortalecimiento de la Infraestructura Estatal y Municipal</t>
  </si>
  <si>
    <t>Fondo para Fronteras</t>
  </si>
  <si>
    <t>Fondo de Apoyo a Migrantes</t>
  </si>
  <si>
    <t>Fondo de apoyo Minero</t>
  </si>
  <si>
    <t>Fortalecimiento Financiero</t>
  </si>
  <si>
    <t>Fondo para el Desarrollo Regional Sustentable de Estado y Municipios Mineros</t>
  </si>
  <si>
    <t>Subsidio a los municipios y Demarcaciones Territoriales del Distrito Federal y en su caso a las entidades federativas que ejerzan de manera directa o coordinada la funcion de seguridad publica (FORTASEG)</t>
  </si>
  <si>
    <t xml:space="preserve">Ayudas sociales </t>
  </si>
  <si>
    <t xml:space="preserve">Pensiones y Jubilaciones </t>
  </si>
  <si>
    <t>Transferencias a Fideicomisos, Mandatos y Análogos</t>
  </si>
  <si>
    <t>Proveniente de la explotación del Puente Federal de Peaje de San Luís Río Colorado</t>
  </si>
  <si>
    <t>INGRESOS DERIVADOS DE FINANCIAMIENTO</t>
  </si>
  <si>
    <t>Endeudamiento Interno</t>
  </si>
  <si>
    <t>Diferimiento de Pagos</t>
  </si>
  <si>
    <t>Créditos a corto plazo</t>
  </si>
  <si>
    <t>Créditos a largo plazo</t>
  </si>
  <si>
    <t>Endeudamiento Externo</t>
  </si>
  <si>
    <t>Estado Analítico de Ingresos Detallado - LDF</t>
  </si>
  <si>
    <t>(PESOS)</t>
  </si>
  <si>
    <t>Diferencia (e)</t>
  </si>
  <si>
    <t>Concepto</t>
  </si>
  <si>
    <t>Estimado (d)</t>
  </si>
  <si>
    <t>Ampliaciones/ (Reducciones)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</si>
  <si>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</si>
  <si>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</si>
  <si>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</si>
  <si>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</si>
  <si>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</si>
  <si>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</si>
  <si>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</si>
  <si>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</si>
  <si>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</si>
  <si>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</si>
  <si>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</si>
  <si>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</si>
  <si>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</si>
  <si>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</si>
  <si>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</si>
  <si>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</si>
  <si>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</si>
  <si>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</si>
  <si>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</si>
  <si>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</si>
  <si>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</si>
  <si>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</si>
  <si>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</si>
  <si>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</si>
  <si>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</si>
  <si>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</si>
  <si>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</si>
  <si>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</si>
  <si>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</si>
  <si>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</si>
  <si>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</si>
  <si>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</si>
  <si>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</si>
  <si>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</si>
  <si>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</si>
  <si>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</si>
  <si>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</si>
  <si>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</si>
  <si>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</si>
  <si>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</si>
  <si>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</si>
  <si>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</si>
  <si>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</si>
  <si>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</si>
  <si>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</si>
  <si>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</si>
  <si>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</si>
  <si>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</si>
  <si>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</si>
  <si>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</si>
  <si>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</si>
  <si>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</si>
  <si>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</si>
  <si>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</si>
  <si>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</si>
  <si>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</si>
  <si>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</si>
  <si>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</si>
  <si>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</si>
  <si>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</si>
  <si>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</si>
  <si>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</si>
  <si>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</si>
  <si>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</si>
  <si>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</si>
  <si>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 GENERAL DE CONTABILIDAD GUBERNAMENTAL</t>
  </si>
  <si>
    <t>L.E.F. JOSE LUIS MUNDO RUIZ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</si>
  <si>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</si>
  <si>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</si>
  <si>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</si>
  <si>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</si>
  <si>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</si>
  <si>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</si>
  <si>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</si>
  <si>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</si>
  <si>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</si>
  <si>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</si>
  <si>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</si>
  <si>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</si>
  <si>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</si>
  <si>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</si>
  <si>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</si>
  <si>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</si>
  <si>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</si>
  <si>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</si>
  <si>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</si>
  <si>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</si>
  <si>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</si>
  <si>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</si>
  <si>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</si>
  <si>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</si>
  <si>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</si>
  <si>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</si>
  <si>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</si>
  <si>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</si>
  <si>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</si>
  <si>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</si>
  <si>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</si>
  <si>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</si>
  <si>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</si>
  <si>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</si>
  <si>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</si>
  <si>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</si>
  <si>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</si>
  <si>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</si>
  <si>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</si>
  <si>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(c)</t>
  </si>
  <si>
    <t>Del 1 de Enero al 30 de Septiembre del 2017</t>
  </si>
  <si>
    <t>Balance Presupuestario - LDF</t>
  </si>
  <si>
    <t>4to Trimestre 2016</t>
  </si>
  <si>
    <t>12</t>
  </si>
  <si>
    <t>Diciembre</t>
  </si>
  <si>
    <t>Enero</t>
  </si>
  <si>
    <t>14/02/2017</t>
  </si>
  <si>
    <t>1..12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</si>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</sst>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$&quot;#,##0.00"/>
    <numFmt numFmtId="165" formatCode="#,##0.00\ %"/>
    <numFmt numFmtId="166" formatCode="#,##0.00;\-\ #,##0.00"/>
    <numFmt numFmtId="167" formatCode="#,##0.00\ %;\-\ #,##0.00\ %"/>
    <numFmt numFmtId="168" formatCode="_(* #,##0.00_);_(* \(#,##0.00\);_(* &quot;-&quot;??_);_(@_)"/>
    <numFmt numFmtId="169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08">
    <xf numFmtId="0" fontId="0" fillId="0" borderId="0"/>
    <xf numFmtId="0" fontId="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37" borderId="0" applyNumberFormat="0" applyBorder="0" applyAlignment="0" applyProtection="0"/>
    <xf numFmtId="0" fontId="31" fillId="37" borderId="26" applyNumberFormat="0" applyAlignment="0" applyProtection="0"/>
    <xf numFmtId="0" fontId="34" fillId="35" borderId="30" applyNumberFormat="0" applyAlignment="0" applyProtection="0"/>
    <xf numFmtId="0" fontId="27" fillId="35" borderId="26" applyNumberFormat="0" applyAlignment="0" applyProtection="0"/>
    <xf numFmtId="0" fontId="29" fillId="0" borderId="28" applyNumberFormat="0" applyFill="0" applyAlignment="0" applyProtection="0"/>
    <xf numFmtId="0" fontId="28" fillId="36" borderId="27" applyNumberFormat="0" applyAlignment="0" applyProtection="0"/>
    <xf numFmtId="0" fontId="43" fillId="0" borderId="0" applyNumberFormat="0" applyFill="0" applyBorder="0" applyAlignment="0" applyProtection="0"/>
    <xf numFmtId="0" fontId="22" fillId="39" borderId="29" applyNumberFormat="0" applyFont="0" applyAlignment="0" applyProtection="0"/>
    <xf numFmtId="0" fontId="44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1" fillId="0" borderId="0"/>
    <xf numFmtId="4" fontId="35" fillId="40" borderId="31" applyNumberFormat="0" applyProtection="0">
      <alignment vertical="center"/>
    </xf>
    <xf numFmtId="4" fontId="36" fillId="40" borderId="31" applyNumberFormat="0" applyProtection="0">
      <alignment vertical="center"/>
    </xf>
    <xf numFmtId="4" fontId="35" fillId="40" borderId="31" applyNumberFormat="0" applyProtection="0">
      <alignment horizontal="left" vertical="center" indent="1"/>
    </xf>
    <xf numFmtId="0" fontId="35" fillId="40" borderId="31" applyNumberFormat="0" applyProtection="0">
      <alignment horizontal="left" vertical="top" indent="1"/>
    </xf>
    <xf numFmtId="4" fontId="35" fillId="41" borderId="0" applyNumberFormat="0" applyProtection="0">
      <alignment horizontal="left" vertical="center" indent="1"/>
    </xf>
    <xf numFmtId="4" fontId="37" fillId="42" borderId="31" applyNumberFormat="0" applyProtection="0">
      <alignment horizontal="right" vertical="center"/>
    </xf>
    <xf numFmtId="4" fontId="37" fillId="43" borderId="31" applyNumberFormat="0" applyProtection="0">
      <alignment horizontal="right" vertical="center"/>
    </xf>
    <xf numFmtId="4" fontId="37" fillId="44" borderId="31" applyNumberFormat="0" applyProtection="0">
      <alignment horizontal="right" vertical="center"/>
    </xf>
    <xf numFmtId="4" fontId="37" fillId="45" borderId="31" applyNumberFormat="0" applyProtection="0">
      <alignment horizontal="right" vertical="center"/>
    </xf>
    <xf numFmtId="4" fontId="37" fillId="46" borderId="31" applyNumberFormat="0" applyProtection="0">
      <alignment horizontal="right" vertical="center"/>
    </xf>
    <xf numFmtId="4" fontId="37" fillId="47" borderId="31" applyNumberFormat="0" applyProtection="0">
      <alignment horizontal="right" vertical="center"/>
    </xf>
    <xf numFmtId="4" fontId="37" fillId="48" borderId="31" applyNumberFormat="0" applyProtection="0">
      <alignment horizontal="right" vertical="center"/>
    </xf>
    <xf numFmtId="4" fontId="37" fillId="49" borderId="31" applyNumberFormat="0" applyProtection="0">
      <alignment horizontal="right" vertical="center"/>
    </xf>
    <xf numFmtId="4" fontId="37" fillId="50" borderId="31" applyNumberFormat="0" applyProtection="0">
      <alignment horizontal="right" vertical="center"/>
    </xf>
    <xf numFmtId="4" fontId="35" fillId="51" borderId="32" applyNumberFormat="0" applyProtection="0">
      <alignment horizontal="left" vertical="center" indent="1"/>
    </xf>
    <xf numFmtId="4" fontId="37" fillId="52" borderId="0" applyNumberFormat="0" applyProtection="0">
      <alignment horizontal="left" vertical="center" indent="1"/>
    </xf>
    <xf numFmtId="4" fontId="38" fillId="53" borderId="0" applyNumberFormat="0" applyProtection="0">
      <alignment horizontal="left" vertical="center" indent="1"/>
    </xf>
    <xf numFmtId="4" fontId="37" fillId="41" borderId="31" applyNumberFormat="0" applyProtection="0">
      <alignment horizontal="right" vertical="center"/>
    </xf>
    <xf numFmtId="4" fontId="37" fillId="52" borderId="0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22" fillId="53" borderId="31" applyNumberFormat="0" applyProtection="0">
      <alignment horizontal="left" vertical="center" indent="1"/>
    </xf>
    <xf numFmtId="0" fontId="22" fillId="53" borderId="31" applyNumberFormat="0" applyProtection="0">
      <alignment horizontal="left" vertical="top" indent="1"/>
    </xf>
    <xf numFmtId="0" fontId="22" fillId="41" borderId="31" applyNumberFormat="0" applyProtection="0">
      <alignment horizontal="left" vertical="center" indent="1"/>
    </xf>
    <xf numFmtId="0" fontId="22" fillId="41" borderId="31" applyNumberFormat="0" applyProtection="0">
      <alignment horizontal="left" vertical="top" indent="1"/>
    </xf>
    <xf numFmtId="0" fontId="22" fillId="54" borderId="31" applyNumberFormat="0" applyProtection="0">
      <alignment horizontal="left" vertical="center" indent="1"/>
    </xf>
    <xf numFmtId="0" fontId="22" fillId="54" borderId="31" applyNumberFormat="0" applyProtection="0">
      <alignment horizontal="left" vertical="top" indent="1"/>
    </xf>
    <xf numFmtId="0" fontId="22" fillId="52" borderId="31" applyNumberFormat="0" applyProtection="0">
      <alignment horizontal="left" vertical="center" indent="1"/>
    </xf>
    <xf numFmtId="0" fontId="22" fillId="52" borderId="31" applyNumberFormat="0" applyProtection="0">
      <alignment horizontal="left" vertical="top" indent="1"/>
    </xf>
    <xf numFmtId="0" fontId="22" fillId="55" borderId="25" applyNumberFormat="0">
      <protection locked="0"/>
    </xf>
    <xf numFmtId="4" fontId="37" fillId="56" borderId="31" applyNumberFormat="0" applyProtection="0">
      <alignment vertical="center"/>
    </xf>
    <xf numFmtId="4" fontId="39" fillId="56" borderId="31" applyNumberFormat="0" applyProtection="0">
      <alignment vertical="center"/>
    </xf>
    <xf numFmtId="4" fontId="37" fillId="56" borderId="31" applyNumberFormat="0" applyProtection="0">
      <alignment horizontal="left" vertical="center" indent="1"/>
    </xf>
    <xf numFmtId="0" fontId="37" fillId="56" borderId="31" applyNumberFormat="0" applyProtection="0">
      <alignment horizontal="left" vertical="top" indent="1"/>
    </xf>
    <xf numFmtId="4" fontId="37" fillId="52" borderId="31" applyNumberFormat="0" applyProtection="0">
      <alignment horizontal="right" vertical="center"/>
    </xf>
    <xf numFmtId="4" fontId="39" fillId="52" borderId="31" applyNumberFormat="0" applyProtection="0">
      <alignment horizontal="right" vertical="center"/>
    </xf>
    <xf numFmtId="4" fontId="37" fillId="41" borderId="31" applyNumberFormat="0" applyProtection="0">
      <alignment horizontal="left" vertical="center" indent="1"/>
    </xf>
    <xf numFmtId="0" fontId="37" fillId="41" borderId="31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1" fillId="52" borderId="3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4" fontId="37" fillId="52" borderId="0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37" borderId="0" applyNumberFormat="0" applyBorder="0" applyAlignment="0" applyProtection="0"/>
    <xf numFmtId="0" fontId="31" fillId="37" borderId="26" applyNumberFormat="0" applyAlignment="0" applyProtection="0"/>
    <xf numFmtId="0" fontId="34" fillId="35" borderId="30" applyNumberFormat="0" applyAlignment="0" applyProtection="0"/>
    <xf numFmtId="0" fontId="27" fillId="35" borderId="26" applyNumberFormat="0" applyAlignment="0" applyProtection="0"/>
    <xf numFmtId="0" fontId="29" fillId="0" borderId="28" applyNumberFormat="0" applyFill="0" applyAlignment="0" applyProtection="0"/>
    <xf numFmtId="0" fontId="28" fillId="36" borderId="27" applyNumberFormat="0" applyAlignment="0" applyProtection="0"/>
    <xf numFmtId="0" fontId="43" fillId="0" borderId="0" applyNumberFormat="0" applyFill="0" applyBorder="0" applyAlignment="0" applyProtection="0"/>
    <xf numFmtId="0" fontId="22" fillId="39" borderId="29" applyNumberFormat="0" applyFont="0" applyAlignment="0" applyProtection="0"/>
    <xf numFmtId="0" fontId="44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</cellStyleXfs>
  <cellXfs count="327">
    <xf numFmtId="0" fontId="0" fillId="0" borderId="0" xfId="0"/>
    <xf numFmtId="0" fontId="16" fillId="33" borderId="12" xfId="26" applyFont="1" applyFill="1" applyBorder="1" applyAlignment="1">
      <alignment horizontal="center"/>
    </xf>
    <xf numFmtId="49" fontId="18" fillId="33" borderId="22" xfId="26" applyNumberFormat="1" applyFill="1" applyBorder="1" applyAlignment="1">
      <alignment horizontal="center"/>
    </xf>
    <xf numFmtId="49" fontId="18" fillId="33" borderId="16" xfId="26" applyNumberFormat="1" applyFill="1" applyBorder="1" applyAlignment="1">
      <alignment horizontal="center"/>
    </xf>
    <xf numFmtId="0" fontId="18" fillId="33" borderId="13" xfId="26" applyFill="1" applyBorder="1"/>
    <xf numFmtId="0" fontId="18" fillId="33" borderId="0" xfId="26" applyFill="1" applyBorder="1"/>
    <xf numFmtId="0" fontId="23" fillId="33" borderId="0" xfId="26" applyFont="1" applyFill="1" applyBorder="1" applyAlignment="1">
      <alignment horizontal="center"/>
    </xf>
    <xf numFmtId="0" fontId="18" fillId="33" borderId="0" xfId="26" applyFill="1"/>
    <xf numFmtId="0" fontId="23" fillId="33" borderId="0" xfId="26" applyFont="1" applyFill="1" applyAlignment="1">
      <alignment horizontal="center"/>
    </xf>
    <xf numFmtId="0" fontId="21" fillId="33" borderId="19" xfId="26" applyFont="1" applyFill="1" applyBorder="1" applyAlignment="1">
      <alignment horizontal="center"/>
    </xf>
    <xf numFmtId="164" fontId="16" fillId="33" borderId="21" xfId="26" applyNumberFormat="1" applyFont="1" applyFill="1" applyBorder="1"/>
    <xf numFmtId="0" fontId="18" fillId="33" borderId="0" xfId="26" applyFont="1" applyFill="1"/>
    <xf numFmtId="0" fontId="0" fillId="33" borderId="0" xfId="0" applyFill="1"/>
    <xf numFmtId="0" fontId="23" fillId="33" borderId="0" xfId="0" applyFont="1" applyFill="1"/>
    <xf numFmtId="0" fontId="1" fillId="33" borderId="0" xfId="26" applyFont="1" applyFill="1" applyBorder="1" applyAlignment="1">
      <alignment horizontal="center" vertical="center"/>
    </xf>
    <xf numFmtId="0" fontId="16" fillId="33" borderId="13" xfId="84" applyFont="1" applyFill="1" applyBorder="1" applyAlignment="1">
      <alignment horizontal="left" vertical="center"/>
    </xf>
    <xf numFmtId="0" fontId="23" fillId="33" borderId="0" xfId="26" applyFont="1" applyFill="1" applyBorder="1" applyAlignment="1">
      <alignment horizontal="center" vertical="center" wrapText="1"/>
    </xf>
    <xf numFmtId="0" fontId="23" fillId="33" borderId="13" xfId="26" applyFont="1" applyFill="1" applyBorder="1"/>
    <xf numFmtId="0" fontId="16" fillId="33" borderId="21" xfId="26" applyFont="1" applyFill="1" applyBorder="1" applyAlignment="1">
      <alignment horizontal="center" vertical="center"/>
    </xf>
    <xf numFmtId="0" fontId="16" fillId="33" borderId="19" xfId="26" applyFont="1" applyFill="1" applyBorder="1" applyAlignment="1">
      <alignment horizontal="center" vertical="center" wrapText="1"/>
    </xf>
    <xf numFmtId="0" fontId="16" fillId="33" borderId="19" xfId="26" applyFont="1" applyFill="1" applyBorder="1" applyAlignment="1">
      <alignment horizontal="center" vertical="center"/>
    </xf>
    <xf numFmtId="0" fontId="17" fillId="33" borderId="0" xfId="0" quotePrefix="1" applyFont="1" applyFill="1" applyAlignment="1"/>
    <xf numFmtId="0" fontId="17" fillId="33" borderId="0" xfId="0" applyFont="1" applyFill="1"/>
    <xf numFmtId="0" fontId="22" fillId="33" borderId="0" xfId="86" applyFont="1" applyFill="1" applyBorder="1" applyAlignment="1"/>
    <xf numFmtId="164" fontId="18" fillId="33" borderId="23" xfId="26" applyNumberFormat="1" applyFill="1" applyBorder="1"/>
    <xf numFmtId="164" fontId="18" fillId="33" borderId="14" xfId="26" applyNumberFormat="1" applyFill="1" applyBorder="1"/>
    <xf numFmtId="0" fontId="1" fillId="33" borderId="0" xfId="84" applyFont="1" applyFill="1" applyBorder="1"/>
    <xf numFmtId="0" fontId="23" fillId="33" borderId="0" xfId="26" applyFont="1" applyFill="1" applyBorder="1"/>
    <xf numFmtId="0" fontId="16" fillId="33" borderId="13" xfId="84" applyFont="1" applyFill="1" applyBorder="1"/>
    <xf numFmtId="164" fontId="18" fillId="33" borderId="23" xfId="26" applyNumberFormat="1" applyFont="1" applyFill="1" applyBorder="1"/>
    <xf numFmtId="164" fontId="18" fillId="33" borderId="14" xfId="26" applyNumberFormat="1" applyFont="1" applyFill="1" applyBorder="1"/>
    <xf numFmtId="0" fontId="0" fillId="33" borderId="0" xfId="84" applyFont="1" applyFill="1" applyBorder="1"/>
    <xf numFmtId="49" fontId="18" fillId="33" borderId="21" xfId="26" applyNumberFormat="1" applyFont="1" applyFill="1" applyBorder="1" applyAlignment="1">
      <alignment horizontal="center"/>
    </xf>
    <xf numFmtId="0" fontId="37" fillId="41" borderId="31" xfId="79" quotePrefix="1" applyNumberFormat="1">
      <alignment horizontal="left" vertical="center" indent="1"/>
    </xf>
    <xf numFmtId="4" fontId="37" fillId="52" borderId="31" xfId="77" applyNumberFormat="1">
      <alignment horizontal="right" vertical="center"/>
    </xf>
    <xf numFmtId="3" fontId="37" fillId="52" borderId="31" xfId="77" applyNumberFormat="1">
      <alignment horizontal="right" vertical="center"/>
    </xf>
    <xf numFmtId="165" fontId="37" fillId="52" borderId="31" xfId="77" applyNumberFormat="1">
      <alignment horizontal="right" vertical="center"/>
    </xf>
    <xf numFmtId="0" fontId="35" fillId="40" borderId="31" xfId="46" quotePrefix="1" applyNumberFormat="1">
      <alignment horizontal="left" vertical="center" indent="1"/>
    </xf>
    <xf numFmtId="4" fontId="35" fillId="40" borderId="31" xfId="44" applyNumberFormat="1">
      <alignment vertical="center"/>
    </xf>
    <xf numFmtId="3" fontId="35" fillId="40" borderId="31" xfId="44" applyNumberFormat="1">
      <alignment vertical="center"/>
    </xf>
    <xf numFmtId="165" fontId="35" fillId="40" borderId="31" xfId="44" applyNumberFormat="1">
      <alignment vertical="center"/>
    </xf>
    <xf numFmtId="166" fontId="37" fillId="52" borderId="31" xfId="77" applyNumberFormat="1">
      <alignment horizontal="right" vertical="center"/>
    </xf>
    <xf numFmtId="167" fontId="37" fillId="52" borderId="31" xfId="77" applyNumberFormat="1">
      <alignment horizontal="right" vertical="center"/>
    </xf>
    <xf numFmtId="166" fontId="35" fillId="40" borderId="31" xfId="44" applyNumberFormat="1">
      <alignment vertical="center"/>
    </xf>
    <xf numFmtId="167" fontId="35" fillId="40" borderId="31" xfId="44" applyNumberFormat="1">
      <alignment vertical="center"/>
    </xf>
    <xf numFmtId="0" fontId="35" fillId="41" borderId="0" xfId="48" quotePrefix="1" applyNumberFormat="1" applyAlignment="1">
      <alignment horizontal="left" vertical="center" indent="1"/>
    </xf>
    <xf numFmtId="0" fontId="16" fillId="33" borderId="19" xfId="26" applyFont="1" applyFill="1" applyBorder="1" applyAlignment="1">
      <alignment horizontal="center"/>
    </xf>
    <xf numFmtId="0" fontId="16" fillId="33" borderId="14" xfId="26" applyFont="1" applyFill="1" applyBorder="1" applyAlignment="1">
      <alignment horizontal="center" vertical="center"/>
    </xf>
    <xf numFmtId="0" fontId="18" fillId="53" borderId="31" xfId="65" quotePrefix="1" applyFont="1" applyAlignment="1">
      <alignment horizontal="left" vertical="top" wrapText="1" indent="1"/>
    </xf>
    <xf numFmtId="0" fontId="16" fillId="33" borderId="21" xfId="26" applyFont="1" applyFill="1" applyBorder="1" applyAlignment="1">
      <alignment horizontal="center"/>
    </xf>
    <xf numFmtId="0" fontId="16" fillId="33" borderId="19" xfId="26" applyFont="1" applyFill="1" applyBorder="1" applyAlignment="1">
      <alignment horizontal="center" wrapText="1"/>
    </xf>
    <xf numFmtId="0" fontId="16" fillId="33" borderId="14" xfId="26" applyFont="1" applyFill="1" applyBorder="1" applyAlignment="1">
      <alignment horizontal="center"/>
    </xf>
    <xf numFmtId="49" fontId="18" fillId="33" borderId="17" xfId="26" applyNumberFormat="1" applyFont="1" applyFill="1" applyBorder="1" applyAlignment="1">
      <alignment horizontal="center"/>
    </xf>
    <xf numFmtId="0" fontId="22" fillId="33" borderId="13" xfId="86" applyFont="1" applyFill="1" applyBorder="1" applyAlignment="1"/>
    <xf numFmtId="0" fontId="18" fillId="33" borderId="15" xfId="26" applyFill="1" applyBorder="1"/>
    <xf numFmtId="0" fontId="18" fillId="33" borderId="16" xfId="26" applyFill="1" applyBorder="1"/>
    <xf numFmtId="0" fontId="23" fillId="33" borderId="16" xfId="26" applyFont="1" applyFill="1" applyBorder="1" applyAlignment="1">
      <alignment horizontal="center"/>
    </xf>
    <xf numFmtId="164" fontId="18" fillId="33" borderId="22" xfId="26" applyNumberFormat="1" applyFill="1" applyBorder="1"/>
    <xf numFmtId="164" fontId="18" fillId="33" borderId="17" xfId="26" applyNumberFormat="1" applyFill="1" applyBorder="1"/>
    <xf numFmtId="0" fontId="37" fillId="0" borderId="0" xfId="0" applyFont="1"/>
    <xf numFmtId="0" fontId="50" fillId="0" borderId="0" xfId="84" applyFont="1" applyAlignment="1">
      <alignment horizontal="left"/>
    </xf>
    <xf numFmtId="3" fontId="37" fillId="0" borderId="0" xfId="0" applyNumberFormat="1" applyFont="1"/>
    <xf numFmtId="0" fontId="50" fillId="0" borderId="21" xfId="0" applyFont="1" applyFill="1" applyBorder="1" applyAlignment="1">
      <alignment horizontal="centerContinuous"/>
    </xf>
    <xf numFmtId="1" fontId="35" fillId="0" borderId="21" xfId="0" applyNumberFormat="1" applyFont="1" applyBorder="1" applyAlignment="1">
      <alignment horizontal="center"/>
    </xf>
    <xf numFmtId="3" fontId="35" fillId="0" borderId="21" xfId="0" applyNumberFormat="1" applyFont="1" applyBorder="1" applyAlignment="1">
      <alignment horizontal="center"/>
    </xf>
    <xf numFmtId="0" fontId="18" fillId="0" borderId="23" xfId="0" applyFont="1" applyBorder="1" applyAlignment="1">
      <alignment vertical="center"/>
    </xf>
    <xf numFmtId="3" fontId="18" fillId="0" borderId="23" xfId="0" applyNumberFormat="1" applyFont="1" applyBorder="1" applyAlignment="1">
      <alignment vertical="center"/>
    </xf>
    <xf numFmtId="4" fontId="18" fillId="0" borderId="23" xfId="0" applyNumberFormat="1" applyFont="1" applyBorder="1" applyAlignment="1">
      <alignment vertical="center"/>
    </xf>
    <xf numFmtId="0" fontId="49" fillId="0" borderId="21" xfId="0" applyFont="1" applyBorder="1" applyAlignment="1">
      <alignment horizontal="center" vertical="center"/>
    </xf>
    <xf numFmtId="3" fontId="49" fillId="0" borderId="21" xfId="0" applyNumberFormat="1" applyFont="1" applyBorder="1" applyAlignment="1">
      <alignment vertical="center"/>
    </xf>
    <xf numFmtId="4" fontId="35" fillId="0" borderId="21" xfId="0" applyNumberFormat="1" applyFont="1" applyBorder="1" applyAlignment="1">
      <alignment vertical="center"/>
    </xf>
    <xf numFmtId="0" fontId="49" fillId="0" borderId="23" xfId="0" applyFont="1" applyBorder="1" applyAlignment="1">
      <alignment vertical="justify"/>
    </xf>
    <xf numFmtId="3" fontId="49" fillId="0" borderId="23" xfId="0" applyNumberFormat="1" applyFont="1" applyBorder="1" applyAlignment="1">
      <alignment vertical="center"/>
    </xf>
    <xf numFmtId="4" fontId="49" fillId="0" borderId="23" xfId="0" applyNumberFormat="1" applyFont="1" applyBorder="1" applyAlignment="1">
      <alignment vertical="center"/>
    </xf>
    <xf numFmtId="0" fontId="49" fillId="0" borderId="23" xfId="0" applyFont="1" applyBorder="1" applyAlignment="1">
      <alignment horizontal="left" vertical="center"/>
    </xf>
    <xf numFmtId="0" fontId="49" fillId="0" borderId="23" xfId="0" applyFont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3" fontId="49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168" fontId="37" fillId="0" borderId="0" xfId="0" applyNumberFormat="1" applyFont="1"/>
    <xf numFmtId="3" fontId="0" fillId="0" borderId="0" xfId="0" applyNumberFormat="1"/>
    <xf numFmtId="4" fontId="49" fillId="0" borderId="0" xfId="0" applyNumberFormat="1" applyFont="1" applyBorder="1" applyAlignment="1">
      <alignment vertical="center"/>
    </xf>
    <xf numFmtId="0" fontId="35" fillId="0" borderId="23" xfId="0" applyFont="1" applyBorder="1" applyAlignment="1">
      <alignment horizontal="center" vertical="top" wrapText="1"/>
    </xf>
    <xf numFmtId="3" fontId="35" fillId="0" borderId="23" xfId="0" applyNumberFormat="1" applyFont="1" applyBorder="1" applyAlignment="1">
      <alignment vertical="center"/>
    </xf>
    <xf numFmtId="4" fontId="35" fillId="0" borderId="23" xfId="0" applyNumberFormat="1" applyFont="1" applyBorder="1" applyAlignment="1">
      <alignment vertical="center"/>
    </xf>
    <xf numFmtId="0" fontId="37" fillId="0" borderId="23" xfId="0" applyFont="1" applyBorder="1" applyAlignment="1">
      <alignment vertical="top" wrapText="1"/>
    </xf>
    <xf numFmtId="3" fontId="37" fillId="0" borderId="23" xfId="0" applyNumberFormat="1" applyFont="1" applyBorder="1" applyAlignment="1">
      <alignment vertical="center"/>
    </xf>
    <xf numFmtId="3" fontId="37" fillId="0" borderId="23" xfId="0" applyNumberFormat="1" applyFont="1" applyFill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0" fontId="37" fillId="0" borderId="23" xfId="0" applyFont="1" applyBorder="1" applyAlignment="1">
      <alignment horizontal="justify" vertical="top" wrapText="1"/>
    </xf>
    <xf numFmtId="0" fontId="35" fillId="0" borderId="23" xfId="0" applyFont="1" applyBorder="1" applyAlignment="1">
      <alignment horizontal="justify" vertical="top" wrapText="1"/>
    </xf>
    <xf numFmtId="3" fontId="35" fillId="0" borderId="23" xfId="0" applyNumberFormat="1" applyFont="1" applyFill="1" applyBorder="1" applyAlignment="1">
      <alignment vertical="center"/>
    </xf>
    <xf numFmtId="0" fontId="35" fillId="0" borderId="22" xfId="0" applyFont="1" applyBorder="1" applyAlignment="1">
      <alignment horizontal="justify" vertical="top" wrapText="1"/>
    </xf>
    <xf numFmtId="3" fontId="37" fillId="0" borderId="22" xfId="0" applyNumberFormat="1" applyFont="1" applyBorder="1" applyAlignment="1">
      <alignment vertical="center"/>
    </xf>
    <xf numFmtId="3" fontId="35" fillId="0" borderId="22" xfId="0" applyNumberFormat="1" applyFont="1" applyFill="1" applyBorder="1" applyAlignment="1">
      <alignment vertical="center"/>
    </xf>
    <xf numFmtId="4" fontId="37" fillId="0" borderId="22" xfId="0" applyNumberFormat="1" applyFont="1" applyBorder="1" applyAlignment="1">
      <alignment vertical="center"/>
    </xf>
    <xf numFmtId="0" fontId="37" fillId="33" borderId="0" xfId="0" applyFont="1" applyFill="1" applyAlignment="1">
      <alignment vertical="top" wrapText="1"/>
    </xf>
    <xf numFmtId="3" fontId="37" fillId="33" borderId="0" xfId="0" applyNumberFormat="1" applyFont="1" applyFill="1"/>
    <xf numFmtId="4" fontId="37" fillId="33" borderId="0" xfId="0" applyNumberFormat="1" applyFont="1" applyFill="1"/>
    <xf numFmtId="0" fontId="50" fillId="33" borderId="0" xfId="84" applyFont="1" applyFill="1" applyAlignment="1">
      <alignment horizontal="left"/>
    </xf>
    <xf numFmtId="0" fontId="37" fillId="0" borderId="23" xfId="0" applyFont="1" applyBorder="1" applyAlignment="1">
      <alignment horizontal="justify" vertical="top"/>
    </xf>
    <xf numFmtId="3" fontId="37" fillId="0" borderId="23" xfId="0" applyNumberFormat="1" applyFont="1" applyBorder="1"/>
    <xf numFmtId="4" fontId="37" fillId="0" borderId="23" xfId="0" applyNumberFormat="1" applyFont="1" applyBorder="1" applyAlignment="1">
      <alignment horizontal="right" vertical="center"/>
    </xf>
    <xf numFmtId="0" fontId="37" fillId="0" borderId="23" xfId="0" applyFont="1" applyBorder="1" applyAlignment="1">
      <alignment horizontal="justify" wrapText="1"/>
    </xf>
    <xf numFmtId="3" fontId="37" fillId="0" borderId="22" xfId="0" applyNumberFormat="1" applyFont="1" applyFill="1" applyBorder="1" applyAlignment="1">
      <alignment vertical="center"/>
    </xf>
    <xf numFmtId="3" fontId="37" fillId="0" borderId="0" xfId="0" applyNumberFormat="1" applyFont="1" applyBorder="1"/>
    <xf numFmtId="4" fontId="37" fillId="0" borderId="0" xfId="0" applyNumberFormat="1" applyFont="1" applyFill="1" applyBorder="1"/>
    <xf numFmtId="0" fontId="35" fillId="0" borderId="0" xfId="0" applyFont="1" applyBorder="1" applyAlignment="1">
      <alignment horizontal="justify" vertical="top" wrapText="1"/>
    </xf>
    <xf numFmtId="3" fontId="37" fillId="0" borderId="0" xfId="0" applyNumberFormat="1" applyFont="1" applyFill="1" applyBorder="1"/>
    <xf numFmtId="0" fontId="37" fillId="0" borderId="23" xfId="0" applyFont="1" applyBorder="1" applyAlignment="1">
      <alignment horizontal="left" vertical="center"/>
    </xf>
    <xf numFmtId="0" fontId="37" fillId="0" borderId="23" xfId="0" applyFont="1" applyBorder="1" applyAlignment="1">
      <alignment horizontal="justify" vertical="center"/>
    </xf>
    <xf numFmtId="3" fontId="35" fillId="0" borderId="23" xfId="0" applyNumberFormat="1" applyFont="1" applyBorder="1"/>
    <xf numFmtId="0" fontId="35" fillId="0" borderId="22" xfId="0" applyFont="1" applyBorder="1" applyAlignment="1">
      <alignment vertical="top" wrapText="1"/>
    </xf>
    <xf numFmtId="0" fontId="37" fillId="0" borderId="0" xfId="0" applyFont="1" applyAlignment="1">
      <alignment horizontal="justify" vertical="top" wrapText="1"/>
    </xf>
    <xf numFmtId="3" fontId="37" fillId="0" borderId="0" xfId="0" applyNumberFormat="1" applyFont="1" applyFill="1"/>
    <xf numFmtId="3" fontId="35" fillId="0" borderId="22" xfId="0" applyNumberFormat="1" applyFont="1" applyBorder="1" applyAlignment="1">
      <alignment vertical="center"/>
    </xf>
    <xf numFmtId="3" fontId="35" fillId="0" borderId="0" xfId="0" applyNumberFormat="1" applyFont="1" applyBorder="1" applyAlignment="1">
      <alignment vertical="top" wrapText="1"/>
    </xf>
    <xf numFmtId="0" fontId="37" fillId="33" borderId="0" xfId="0" applyFont="1" applyFill="1"/>
    <xf numFmtId="1" fontId="35" fillId="0" borderId="21" xfId="0" applyNumberFormat="1" applyFont="1" applyFill="1" applyBorder="1" applyAlignment="1">
      <alignment horizontal="center"/>
    </xf>
    <xf numFmtId="0" fontId="37" fillId="0" borderId="22" xfId="0" applyFont="1" applyBorder="1" applyAlignment="1">
      <alignment horizontal="justify" vertical="top" wrapText="1"/>
    </xf>
    <xf numFmtId="0" fontId="35" fillId="0" borderId="0" xfId="0" applyFont="1" applyBorder="1" applyAlignment="1">
      <alignment vertical="top" wrapText="1"/>
    </xf>
    <xf numFmtId="0" fontId="37" fillId="0" borderId="22" xfId="0" applyFont="1" applyBorder="1" applyAlignment="1">
      <alignment horizontal="justify" vertical="top"/>
    </xf>
    <xf numFmtId="0" fontId="18" fillId="0" borderId="23" xfId="603" applyFont="1" applyFill="1" applyBorder="1" applyAlignment="1">
      <alignment vertical="center" wrapText="1"/>
    </xf>
    <xf numFmtId="0" fontId="51" fillId="0" borderId="23" xfId="0" applyFont="1" applyBorder="1" applyAlignment="1">
      <alignment wrapText="1"/>
    </xf>
    <xf numFmtId="0" fontId="18" fillId="33" borderId="23" xfId="0" applyFont="1" applyFill="1" applyBorder="1" applyAlignment="1">
      <alignment vertical="center" wrapText="1"/>
    </xf>
    <xf numFmtId="3" fontId="37" fillId="0" borderId="23" xfId="0" applyNumberFormat="1" applyFont="1" applyBorder="1" applyAlignment="1"/>
    <xf numFmtId="4" fontId="37" fillId="0" borderId="23" xfId="0" applyNumberFormat="1" applyFont="1" applyBorder="1"/>
    <xf numFmtId="0" fontId="0" fillId="0" borderId="23" xfId="603" applyFont="1" applyFill="1" applyBorder="1" applyAlignment="1">
      <alignment vertical="center" wrapText="1"/>
    </xf>
    <xf numFmtId="0" fontId="49" fillId="0" borderId="23" xfId="603" applyFont="1" applyFill="1" applyBorder="1" applyAlignment="1">
      <alignment vertical="center" wrapText="1"/>
    </xf>
    <xf numFmtId="0" fontId="35" fillId="0" borderId="22" xfId="0" applyFont="1" applyBorder="1" applyAlignment="1">
      <alignment horizontal="justify" vertical="top"/>
    </xf>
    <xf numFmtId="3" fontId="35" fillId="0" borderId="22" xfId="0" applyNumberFormat="1" applyFont="1" applyBorder="1" applyAlignment="1"/>
    <xf numFmtId="3" fontId="35" fillId="0" borderId="22" xfId="0" applyNumberFormat="1" applyFont="1" applyFill="1" applyBorder="1" applyAlignment="1"/>
    <xf numFmtId="4" fontId="35" fillId="0" borderId="22" xfId="0" applyNumberFormat="1" applyFont="1" applyBorder="1" applyAlignment="1">
      <alignment vertical="center"/>
    </xf>
    <xf numFmtId="3" fontId="35" fillId="0" borderId="0" xfId="0" applyNumberFormat="1" applyFont="1" applyFill="1"/>
    <xf numFmtId="3" fontId="37" fillId="0" borderId="0" xfId="0" applyNumberFormat="1" applyFont="1" applyFill="1" applyBorder="1" applyAlignment="1">
      <alignment vertical="center"/>
    </xf>
    <xf numFmtId="0" fontId="52" fillId="0" borderId="0" xfId="0" applyFont="1"/>
    <xf numFmtId="3" fontId="35" fillId="0" borderId="0" xfId="0" applyNumberFormat="1" applyFont="1"/>
    <xf numFmtId="0" fontId="0" fillId="0" borderId="0" xfId="0" quotePrefix="1" applyAlignment="1"/>
    <xf numFmtId="14" fontId="0" fillId="0" borderId="0" xfId="0" applyNumberFormat="1"/>
    <xf numFmtId="0" fontId="56" fillId="0" borderId="14" xfId="0" applyFont="1" applyBorder="1" applyAlignment="1">
      <alignment horizontal="center" vertical="center"/>
    </xf>
    <xf numFmtId="0" fontId="56" fillId="0" borderId="14" xfId="0" applyFont="1" applyBorder="1" applyAlignment="1">
      <alignment horizontal="right" vertical="center"/>
    </xf>
    <xf numFmtId="0" fontId="56" fillId="0" borderId="13" xfId="0" applyFont="1" applyBorder="1" applyAlignment="1">
      <alignment horizontal="left" vertical="center"/>
    </xf>
    <xf numFmtId="4" fontId="56" fillId="0" borderId="14" xfId="0" applyNumberFormat="1" applyFont="1" applyFill="1" applyBorder="1" applyAlignment="1">
      <alignment horizontal="right" vertical="center"/>
    </xf>
    <xf numFmtId="4" fontId="56" fillId="0" borderId="14" xfId="0" applyNumberFormat="1" applyFont="1" applyBorder="1" applyAlignment="1">
      <alignment horizontal="right" vertical="center"/>
    </xf>
    <xf numFmtId="4" fontId="56" fillId="0" borderId="23" xfId="0" applyNumberFormat="1" applyFont="1" applyFill="1" applyBorder="1" applyAlignment="1">
      <alignment horizontal="right" vertical="center"/>
    </xf>
    <xf numFmtId="4" fontId="56" fillId="0" borderId="23" xfId="0" applyNumberFormat="1" applyFont="1" applyBorder="1" applyAlignment="1">
      <alignment horizontal="right" vertical="center"/>
    </xf>
    <xf numFmtId="0" fontId="0" fillId="0" borderId="23" xfId="0" applyFill="1" applyBorder="1"/>
    <xf numFmtId="0" fontId="0" fillId="0" borderId="23" xfId="0" applyBorder="1"/>
    <xf numFmtId="4" fontId="56" fillId="0" borderId="23" xfId="0" applyNumberFormat="1" applyFont="1" applyFill="1" applyBorder="1" applyAlignment="1">
      <alignment vertical="center"/>
    </xf>
    <xf numFmtId="0" fontId="56" fillId="0" borderId="0" xfId="0" applyFont="1" applyAlignment="1">
      <alignment horizontal="left" vertical="center"/>
    </xf>
    <xf numFmtId="0" fontId="56" fillId="0" borderId="14" xfId="0" applyFont="1" applyBorder="1" applyAlignment="1">
      <alignment horizontal="left" vertical="center"/>
    </xf>
    <xf numFmtId="0" fontId="56" fillId="0" borderId="14" xfId="0" applyFont="1" applyFill="1" applyBorder="1" applyAlignment="1">
      <alignment horizontal="right" vertical="center"/>
    </xf>
    <xf numFmtId="0" fontId="56" fillId="0" borderId="14" xfId="0" applyFont="1" applyFill="1" applyBorder="1" applyAlignment="1">
      <alignment horizontal="center" vertical="center"/>
    </xf>
    <xf numFmtId="0" fontId="56" fillId="0" borderId="13" xfId="0" applyFont="1" applyFill="1" applyBorder="1" applyAlignment="1">
      <alignment horizontal="left" vertical="center"/>
    </xf>
    <xf numFmtId="4" fontId="55" fillId="0" borderId="14" xfId="0" applyNumberFormat="1" applyFont="1" applyFill="1" applyBorder="1" applyAlignment="1">
      <alignment horizontal="right" vertical="center"/>
    </xf>
    <xf numFmtId="4" fontId="55" fillId="0" borderId="14" xfId="0" applyNumberFormat="1" applyFont="1" applyBorder="1" applyAlignment="1">
      <alignment horizontal="right" vertical="center"/>
    </xf>
    <xf numFmtId="0" fontId="56" fillId="0" borderId="23" xfId="0" applyFont="1" applyFill="1" applyBorder="1" applyAlignment="1">
      <alignment vertical="center"/>
    </xf>
    <xf numFmtId="0" fontId="56" fillId="0" borderId="23" xfId="0" applyFont="1" applyBorder="1" applyAlignment="1">
      <alignment vertical="center"/>
    </xf>
    <xf numFmtId="0" fontId="56" fillId="0" borderId="23" xfId="0" applyFont="1" applyBorder="1" applyAlignment="1">
      <alignment horizontal="right" vertical="center"/>
    </xf>
    <xf numFmtId="0" fontId="56" fillId="0" borderId="14" xfId="0" applyFont="1" applyBorder="1" applyAlignment="1">
      <alignment horizontal="justify" vertical="center"/>
    </xf>
    <xf numFmtId="0" fontId="56" fillId="0" borderId="14" xfId="0" applyFont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horizontal="right" vertical="center"/>
    </xf>
    <xf numFmtId="0" fontId="56" fillId="0" borderId="15" xfId="0" applyFont="1" applyBorder="1" applyAlignment="1">
      <alignment horizontal="left" vertical="center"/>
    </xf>
    <xf numFmtId="0" fontId="56" fillId="0" borderId="17" xfId="0" applyFont="1" applyBorder="1" applyAlignment="1">
      <alignment horizontal="center" vertical="center"/>
    </xf>
    <xf numFmtId="0" fontId="56" fillId="0" borderId="17" xfId="0" applyFont="1" applyBorder="1" applyAlignment="1">
      <alignment horizontal="justify" vertical="center"/>
    </xf>
    <xf numFmtId="0" fontId="57" fillId="0" borderId="0" xfId="0" applyFont="1"/>
    <xf numFmtId="4" fontId="0" fillId="0" borderId="0" xfId="0" applyNumberFormat="1"/>
    <xf numFmtId="0" fontId="60" fillId="0" borderId="0" xfId="604" applyFill="1"/>
    <xf numFmtId="0" fontId="57" fillId="0" borderId="0" xfId="604" applyFont="1" applyFill="1"/>
    <xf numFmtId="0" fontId="61" fillId="0" borderId="0" xfId="605" applyFont="1" applyFill="1"/>
    <xf numFmtId="0" fontId="63" fillId="0" borderId="0" xfId="605" applyFont="1" applyFill="1"/>
    <xf numFmtId="0" fontId="55" fillId="0" borderId="22" xfId="604" applyFont="1" applyFill="1" applyBorder="1" applyAlignment="1">
      <alignment vertical="center"/>
    </xf>
    <xf numFmtId="0" fontId="56" fillId="0" borderId="17" xfId="604" applyFont="1" applyFill="1" applyBorder="1" applyAlignment="1">
      <alignment horizontal="left" vertical="center" indent="1"/>
    </xf>
    <xf numFmtId="3" fontId="56" fillId="0" borderId="23" xfId="604" applyNumberFormat="1" applyFont="1" applyFill="1" applyBorder="1" applyAlignment="1">
      <alignment vertical="center"/>
    </xf>
    <xf numFmtId="0" fontId="55" fillId="0" borderId="14" xfId="604" applyFont="1" applyFill="1" applyBorder="1" applyAlignment="1">
      <alignment horizontal="left" vertical="center" wrapText="1" indent="1"/>
    </xf>
    <xf numFmtId="0" fontId="55" fillId="0" borderId="14" xfId="604" applyFont="1" applyFill="1" applyBorder="1" applyAlignment="1">
      <alignment horizontal="left" vertical="center" indent="1"/>
    </xf>
    <xf numFmtId="0" fontId="56" fillId="0" borderId="14" xfId="604" applyFont="1" applyFill="1" applyBorder="1" applyAlignment="1">
      <alignment horizontal="left" vertical="center" indent="1"/>
    </xf>
    <xf numFmtId="0" fontId="56" fillId="0" borderId="13" xfId="604" applyFont="1" applyFill="1" applyBorder="1" applyAlignment="1">
      <alignment vertical="center"/>
    </xf>
    <xf numFmtId="3" fontId="64" fillId="0" borderId="14" xfId="606" applyNumberFormat="1" applyFont="1" applyBorder="1" applyAlignment="1">
      <alignment horizontal="right" vertical="center"/>
    </xf>
    <xf numFmtId="3" fontId="64" fillId="0" borderId="23" xfId="606" applyNumberFormat="1" applyFont="1" applyBorder="1" applyAlignment="1">
      <alignment horizontal="right" vertical="center"/>
    </xf>
    <xf numFmtId="0" fontId="56" fillId="0" borderId="14" xfId="604" applyFont="1" applyFill="1" applyBorder="1" applyAlignment="1">
      <alignment horizontal="left" vertical="center" indent="5"/>
    </xf>
    <xf numFmtId="0" fontId="64" fillId="0" borderId="14" xfId="606" applyFont="1" applyBorder="1" applyAlignment="1">
      <alignment horizontal="right" vertical="center"/>
    </xf>
    <xf numFmtId="0" fontId="64" fillId="0" borderId="23" xfId="606" applyFont="1" applyBorder="1" applyAlignment="1">
      <alignment horizontal="right" vertical="center"/>
    </xf>
    <xf numFmtId="0" fontId="56" fillId="0" borderId="14" xfId="604" applyFont="1" applyFill="1" applyBorder="1" applyAlignment="1">
      <alignment horizontal="left" vertical="center" wrapText="1" indent="5"/>
    </xf>
    <xf numFmtId="0" fontId="56" fillId="0" borderId="14" xfId="604" applyFont="1" applyFill="1" applyBorder="1" applyAlignment="1">
      <alignment horizontal="left" vertical="center" wrapText="1" indent="1"/>
    </xf>
    <xf numFmtId="0" fontId="1" fillId="0" borderId="0" xfId="606" applyAlignment="1">
      <alignment vertical="center" wrapText="1"/>
    </xf>
    <xf numFmtId="3" fontId="56" fillId="0" borderId="14" xfId="604" applyNumberFormat="1" applyFont="1" applyFill="1" applyBorder="1" applyAlignment="1">
      <alignment vertical="center"/>
    </xf>
    <xf numFmtId="3" fontId="55" fillId="0" borderId="17" xfId="604" applyNumberFormat="1" applyFont="1" applyFill="1" applyBorder="1" applyAlignment="1">
      <alignment horizontal="center" vertical="center"/>
    </xf>
    <xf numFmtId="3" fontId="55" fillId="0" borderId="12" xfId="604" applyNumberFormat="1" applyFont="1" applyFill="1" applyBorder="1" applyAlignment="1">
      <alignment horizontal="center" vertical="center"/>
    </xf>
    <xf numFmtId="3" fontId="57" fillId="0" borderId="0" xfId="604" applyNumberFormat="1" applyFont="1" applyFill="1"/>
    <xf numFmtId="3" fontId="55" fillId="0" borderId="22" xfId="604" applyNumberFormat="1" applyFont="1" applyFill="1" applyBorder="1" applyAlignment="1">
      <alignment vertical="center"/>
    </xf>
    <xf numFmtId="3" fontId="55" fillId="0" borderId="23" xfId="604" applyNumberFormat="1" applyFont="1" applyFill="1" applyBorder="1" applyAlignment="1">
      <alignment vertical="center"/>
    </xf>
    <xf numFmtId="3" fontId="55" fillId="0" borderId="14" xfId="604" applyNumberFormat="1" applyFont="1" applyFill="1" applyBorder="1" applyAlignment="1">
      <alignment vertical="center"/>
    </xf>
    <xf numFmtId="0" fontId="56" fillId="0" borderId="14" xfId="604" applyFont="1" applyFill="1" applyBorder="1" applyAlignment="1">
      <alignment horizontal="justify" vertical="center"/>
    </xf>
    <xf numFmtId="0" fontId="56" fillId="0" borderId="14" xfId="604" applyFont="1" applyFill="1" applyBorder="1" applyAlignment="1">
      <alignment vertical="center"/>
    </xf>
    <xf numFmtId="0" fontId="55" fillId="0" borderId="17" xfId="604" applyFont="1" applyFill="1" applyBorder="1" applyAlignment="1">
      <alignment horizontal="center" vertical="center"/>
    </xf>
    <xf numFmtId="0" fontId="55" fillId="0" borderId="12" xfId="604" applyFont="1" applyFill="1" applyBorder="1" applyAlignment="1">
      <alignment horizontal="center" vertical="center"/>
    </xf>
    <xf numFmtId="0" fontId="55" fillId="0" borderId="14" xfId="604" applyFont="1" applyFill="1" applyBorder="1" applyAlignment="1">
      <alignment vertical="center"/>
    </xf>
    <xf numFmtId="0" fontId="55" fillId="0" borderId="13" xfId="604" applyFont="1" applyFill="1" applyBorder="1" applyAlignment="1">
      <alignment vertical="center"/>
    </xf>
    <xf numFmtId="0" fontId="55" fillId="0" borderId="17" xfId="604" applyFont="1" applyFill="1" applyBorder="1" applyAlignment="1">
      <alignment vertical="center" wrapText="1"/>
    </xf>
    <xf numFmtId="0" fontId="55" fillId="0" borderId="15" xfId="604" applyFont="1" applyFill="1" applyBorder="1" applyAlignment="1">
      <alignment vertical="center" wrapText="1"/>
    </xf>
    <xf numFmtId="3" fontId="55" fillId="0" borderId="14" xfId="604" applyNumberFormat="1" applyFont="1" applyFill="1" applyBorder="1" applyAlignment="1">
      <alignment vertical="center" wrapText="1"/>
    </xf>
    <xf numFmtId="0" fontId="55" fillId="0" borderId="14" xfId="604" applyFont="1" applyFill="1" applyBorder="1" applyAlignment="1">
      <alignment vertical="center" wrapText="1"/>
    </xf>
    <xf numFmtId="0" fontId="55" fillId="0" borderId="13" xfId="604" applyFont="1" applyFill="1" applyBorder="1" applyAlignment="1">
      <alignment vertical="center" wrapText="1"/>
    </xf>
    <xf numFmtId="3" fontId="56" fillId="0" borderId="23" xfId="604" applyNumberFormat="1" applyFont="1" applyFill="1" applyBorder="1" applyAlignment="1">
      <alignment vertical="center" wrapText="1"/>
    </xf>
    <xf numFmtId="0" fontId="56" fillId="0" borderId="14" xfId="604" applyFont="1" applyFill="1" applyBorder="1" applyAlignment="1">
      <alignment vertical="center" wrapText="1"/>
    </xf>
    <xf numFmtId="0" fontId="56" fillId="0" borderId="13" xfId="604" applyFont="1" applyFill="1" applyBorder="1" applyAlignment="1">
      <alignment vertical="center" wrapText="1"/>
    </xf>
    <xf numFmtId="0" fontId="55" fillId="0" borderId="20" xfId="604" applyFont="1" applyFill="1" applyBorder="1" applyAlignment="1">
      <alignment horizontal="center" vertical="center" wrapText="1"/>
    </xf>
    <xf numFmtId="0" fontId="56" fillId="0" borderId="17" xfId="604" applyFont="1" applyFill="1" applyBorder="1" applyAlignment="1">
      <alignment vertical="center" wrapText="1"/>
    </xf>
    <xf numFmtId="0" fontId="56" fillId="0" borderId="15" xfId="604" applyFont="1" applyFill="1" applyBorder="1" applyAlignment="1">
      <alignment vertical="center" wrapText="1"/>
    </xf>
    <xf numFmtId="169" fontId="56" fillId="0" borderId="14" xfId="607" applyNumberFormat="1" applyFont="1" applyFill="1" applyBorder="1" applyAlignment="1">
      <alignment vertical="center" wrapText="1"/>
    </xf>
    <xf numFmtId="169" fontId="56" fillId="0" borderId="23" xfId="607" applyNumberFormat="1" applyFont="1" applyFill="1" applyBorder="1" applyAlignment="1">
      <alignment vertical="center" wrapText="1"/>
    </xf>
    <xf numFmtId="1" fontId="56" fillId="0" borderId="14" xfId="604" applyNumberFormat="1" applyFont="1" applyFill="1" applyBorder="1" applyAlignment="1">
      <alignment vertical="center" wrapText="1"/>
    </xf>
    <xf numFmtId="0" fontId="55" fillId="0" borderId="17" xfId="604" applyFont="1" applyFill="1" applyBorder="1" applyAlignment="1">
      <alignment horizontal="center" vertical="center" wrapText="1"/>
    </xf>
    <xf numFmtId="0" fontId="55" fillId="0" borderId="14" xfId="604" applyFont="1" applyFill="1" applyBorder="1" applyAlignment="1">
      <alignment horizontal="center" vertical="center" wrapText="1"/>
    </xf>
    <xf numFmtId="0" fontId="56" fillId="0" borderId="16" xfId="604" applyFont="1" applyFill="1" applyBorder="1" applyAlignment="1">
      <alignment vertical="center"/>
    </xf>
    <xf numFmtId="14" fontId="60" fillId="0" borderId="0" xfId="604" applyNumberFormat="1" applyFill="1"/>
    <xf numFmtId="0" fontId="60" fillId="0" borderId="0" xfId="604" quotePrefix="1" applyFill="1" applyAlignment="1"/>
    <xf numFmtId="0" fontId="67" fillId="0" borderId="10" xfId="604" applyFont="1" applyFill="1" applyBorder="1" applyAlignment="1">
      <alignment horizontal="center" vertical="center"/>
    </xf>
    <xf numFmtId="0" fontId="67" fillId="0" borderId="11" xfId="604" applyFont="1" applyFill="1" applyBorder="1" applyAlignment="1">
      <alignment horizontal="center" vertical="center"/>
    </xf>
    <xf numFmtId="0" fontId="67" fillId="0" borderId="12" xfId="604" applyFont="1" applyFill="1" applyBorder="1" applyAlignment="1">
      <alignment horizontal="center" vertical="center"/>
    </xf>
    <xf numFmtId="0" fontId="54" fillId="0" borderId="13" xfId="604" applyFont="1" applyFill="1" applyBorder="1" applyAlignment="1">
      <alignment horizontal="center" vertical="center"/>
    </xf>
    <xf numFmtId="0" fontId="54" fillId="0" borderId="0" xfId="604" applyFont="1" applyFill="1" applyBorder="1" applyAlignment="1">
      <alignment horizontal="center" vertical="center"/>
    </xf>
    <xf numFmtId="0" fontId="54" fillId="0" borderId="14" xfId="604" applyFont="1" applyFill="1" applyBorder="1" applyAlignment="1">
      <alignment horizontal="center" vertical="center"/>
    </xf>
    <xf numFmtId="0" fontId="66" fillId="0" borderId="13" xfId="604" applyFont="1" applyFill="1" applyBorder="1" applyAlignment="1">
      <alignment horizontal="center" vertical="center"/>
    </xf>
    <xf numFmtId="0" fontId="66" fillId="0" borderId="0" xfId="604" applyFont="1" applyFill="1" applyBorder="1" applyAlignment="1">
      <alignment horizontal="center" vertical="center"/>
    </xf>
    <xf numFmtId="0" fontId="66" fillId="0" borderId="14" xfId="604" applyFont="1" applyFill="1" applyBorder="1" applyAlignment="1">
      <alignment horizontal="center" vertical="center"/>
    </xf>
    <xf numFmtId="0" fontId="55" fillId="0" borderId="15" xfId="604" applyFont="1" applyFill="1" applyBorder="1" applyAlignment="1">
      <alignment horizontal="center" vertical="center"/>
    </xf>
    <xf numFmtId="0" fontId="55" fillId="0" borderId="16" xfId="604" applyFont="1" applyFill="1" applyBorder="1" applyAlignment="1">
      <alignment horizontal="center" vertical="center"/>
    </xf>
    <xf numFmtId="0" fontId="55" fillId="0" borderId="17" xfId="604" applyFont="1" applyFill="1" applyBorder="1" applyAlignment="1">
      <alignment horizontal="center" vertical="center"/>
    </xf>
    <xf numFmtId="0" fontId="55" fillId="0" borderId="10" xfId="604" applyFont="1" applyFill="1" applyBorder="1" applyAlignment="1">
      <alignment vertical="center"/>
    </xf>
    <xf numFmtId="0" fontId="55" fillId="0" borderId="12" xfId="604" applyFont="1" applyFill="1" applyBorder="1" applyAlignment="1">
      <alignment vertical="center"/>
    </xf>
    <xf numFmtId="0" fontId="55" fillId="0" borderId="15" xfId="604" applyFont="1" applyFill="1" applyBorder="1" applyAlignment="1">
      <alignment vertical="center"/>
    </xf>
    <xf numFmtId="0" fontId="55" fillId="0" borderId="17" xfId="604" applyFont="1" applyFill="1" applyBorder="1" applyAlignment="1">
      <alignment vertical="center"/>
    </xf>
    <xf numFmtId="0" fontId="55" fillId="0" borderId="24" xfId="604" applyFont="1" applyFill="1" applyBorder="1" applyAlignment="1">
      <alignment horizontal="center" vertical="center" wrapText="1"/>
    </xf>
    <xf numFmtId="0" fontId="55" fillId="0" borderId="22" xfId="604" applyFont="1" applyFill="1" applyBorder="1" applyAlignment="1">
      <alignment horizontal="center" vertical="center" wrapText="1"/>
    </xf>
    <xf numFmtId="0" fontId="56" fillId="0" borderId="13" xfId="604" applyFont="1" applyFill="1" applyBorder="1" applyAlignment="1">
      <alignment vertical="center"/>
    </xf>
    <xf numFmtId="0" fontId="55" fillId="0" borderId="13" xfId="604" applyFont="1" applyFill="1" applyBorder="1" applyAlignment="1">
      <alignment vertical="center"/>
    </xf>
    <xf numFmtId="3" fontId="55" fillId="0" borderId="24" xfId="604" applyNumberFormat="1" applyFont="1" applyFill="1" applyBorder="1" applyAlignment="1">
      <alignment horizontal="center" vertical="center"/>
    </xf>
    <xf numFmtId="3" fontId="55" fillId="0" borderId="22" xfId="604" applyNumberFormat="1" applyFont="1" applyFill="1" applyBorder="1" applyAlignment="1">
      <alignment horizontal="center" vertical="center"/>
    </xf>
    <xf numFmtId="0" fontId="56" fillId="0" borderId="13" xfId="604" applyFont="1" applyFill="1" applyBorder="1" applyAlignment="1">
      <alignment vertical="center" wrapText="1"/>
    </xf>
    <xf numFmtId="0" fontId="56" fillId="0" borderId="19" xfId="604" applyFont="1" applyFill="1" applyBorder="1" applyAlignment="1">
      <alignment vertical="center"/>
    </xf>
    <xf numFmtId="0" fontId="55" fillId="0" borderId="18" xfId="604" applyFont="1" applyFill="1" applyBorder="1" applyAlignment="1">
      <alignment vertical="center"/>
    </xf>
    <xf numFmtId="0" fontId="55" fillId="0" borderId="20" xfId="604" applyFont="1" applyFill="1" applyBorder="1" applyAlignment="1">
      <alignment vertical="center"/>
    </xf>
    <xf numFmtId="0" fontId="55" fillId="0" borderId="13" xfId="604" applyFont="1" applyFill="1" applyBorder="1" applyAlignment="1">
      <alignment vertical="center" wrapText="1"/>
    </xf>
    <xf numFmtId="0" fontId="55" fillId="0" borderId="24" xfId="604" applyFont="1" applyFill="1" applyBorder="1" applyAlignment="1">
      <alignment horizontal="center" vertical="center"/>
    </xf>
    <xf numFmtId="0" fontId="55" fillId="0" borderId="22" xfId="604" applyFont="1" applyFill="1" applyBorder="1" applyAlignment="1">
      <alignment horizontal="center" vertical="center"/>
    </xf>
    <xf numFmtId="0" fontId="55" fillId="0" borderId="14" xfId="604" applyFont="1" applyFill="1" applyBorder="1" applyAlignment="1">
      <alignment vertical="center"/>
    </xf>
    <xf numFmtId="3" fontId="55" fillId="0" borderId="23" xfId="604" applyNumberFormat="1" applyFont="1" applyFill="1" applyBorder="1" applyAlignment="1">
      <alignment vertical="center"/>
    </xf>
    <xf numFmtId="3" fontId="55" fillId="0" borderId="22" xfId="604" applyNumberFormat="1" applyFont="1" applyFill="1" applyBorder="1" applyAlignment="1">
      <alignment vertical="center"/>
    </xf>
    <xf numFmtId="0" fontId="56" fillId="0" borderId="10" xfId="604" applyFont="1" applyFill="1" applyBorder="1" applyAlignment="1">
      <alignment vertical="center"/>
    </xf>
    <xf numFmtId="0" fontId="56" fillId="0" borderId="12" xfId="604" applyFont="1" applyFill="1" applyBorder="1" applyAlignment="1">
      <alignment vertical="center"/>
    </xf>
    <xf numFmtId="0" fontId="56" fillId="0" borderId="14" xfId="604" applyFont="1" applyFill="1" applyBorder="1" applyAlignment="1">
      <alignment horizontal="left" vertical="center" indent="1"/>
    </xf>
    <xf numFmtId="0" fontId="62" fillId="0" borderId="0" xfId="605" applyFont="1" applyFill="1" applyAlignment="1">
      <alignment horizontal="center"/>
    </xf>
    <xf numFmtId="3" fontId="64" fillId="0" borderId="23" xfId="606" applyNumberFormat="1" applyFont="1" applyBorder="1" applyAlignment="1">
      <alignment horizontal="right" vertical="center"/>
    </xf>
    <xf numFmtId="0" fontId="55" fillId="0" borderId="0" xfId="0" applyFont="1" applyBorder="1" applyAlignment="1">
      <alignment horizontal="left" vertical="center"/>
    </xf>
    <xf numFmtId="0" fontId="55" fillId="0" borderId="14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 wrapText="1"/>
    </xf>
    <xf numFmtId="0" fontId="56" fillId="0" borderId="14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/>
    </xf>
    <xf numFmtId="0" fontId="56" fillId="0" borderId="14" xfId="0" applyFont="1" applyBorder="1" applyAlignment="1">
      <alignment horizontal="left" vertical="center"/>
    </xf>
    <xf numFmtId="0" fontId="56" fillId="0" borderId="16" xfId="0" applyFont="1" applyBorder="1" applyAlignment="1">
      <alignment horizontal="left" vertical="center"/>
    </xf>
    <xf numFmtId="0" fontId="56" fillId="0" borderId="17" xfId="0" applyFont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14" xfId="0" applyFont="1" applyFill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6" fillId="0" borderId="13" xfId="0" applyFont="1" applyBorder="1" applyAlignment="1">
      <alignment horizontal="left" vertical="center"/>
    </xf>
    <xf numFmtId="0" fontId="55" fillId="58" borderId="24" xfId="0" applyFont="1" applyFill="1" applyBorder="1" applyAlignment="1">
      <alignment horizontal="center" vertical="center"/>
    </xf>
    <xf numFmtId="0" fontId="55" fillId="58" borderId="22" xfId="0" applyFont="1" applyFill="1" applyBorder="1" applyAlignment="1">
      <alignment horizontal="center" vertical="center"/>
    </xf>
    <xf numFmtId="0" fontId="55" fillId="58" borderId="15" xfId="0" applyFont="1" applyFill="1" applyBorder="1" applyAlignment="1">
      <alignment horizontal="center" vertical="center"/>
    </xf>
    <xf numFmtId="0" fontId="55" fillId="58" borderId="16" xfId="0" applyFont="1" applyFill="1" applyBorder="1" applyAlignment="1">
      <alignment horizontal="center" vertical="center"/>
    </xf>
    <xf numFmtId="0" fontId="55" fillId="58" borderId="17" xfId="0" applyFont="1" applyFill="1" applyBorder="1" applyAlignment="1">
      <alignment horizontal="center" vertical="center"/>
    </xf>
    <xf numFmtId="0" fontId="56" fillId="0" borderId="10" xfId="0" applyFont="1" applyBorder="1" applyAlignment="1">
      <alignment horizontal="justify" vertical="center"/>
    </xf>
    <xf numFmtId="0" fontId="56" fillId="0" borderId="11" xfId="0" applyFont="1" applyBorder="1" applyAlignment="1">
      <alignment horizontal="justify" vertical="center"/>
    </xf>
    <xf numFmtId="0" fontId="56" fillId="0" borderId="12" xfId="0" applyFont="1" applyBorder="1" applyAlignment="1">
      <alignment horizontal="justify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4" fillId="0" borderId="13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0" fontId="55" fillId="0" borderId="15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5" fillId="0" borderId="17" xfId="0" applyFont="1" applyFill="1" applyBorder="1" applyAlignment="1">
      <alignment horizontal="center" vertical="center"/>
    </xf>
    <xf numFmtId="0" fontId="55" fillId="58" borderId="10" xfId="0" applyFont="1" applyFill="1" applyBorder="1" applyAlignment="1">
      <alignment horizontal="center" vertical="center"/>
    </xf>
    <xf numFmtId="0" fontId="55" fillId="58" borderId="11" xfId="0" applyFont="1" applyFill="1" applyBorder="1" applyAlignment="1">
      <alignment horizontal="center" vertical="center"/>
    </xf>
    <xf numFmtId="0" fontId="55" fillId="58" borderId="12" xfId="0" applyFont="1" applyFill="1" applyBorder="1" applyAlignment="1">
      <alignment horizontal="center" vertical="center"/>
    </xf>
    <xf numFmtId="0" fontId="55" fillId="58" borderId="18" xfId="0" applyFont="1" applyFill="1" applyBorder="1" applyAlignment="1">
      <alignment horizontal="center" vertical="center"/>
    </xf>
    <xf numFmtId="0" fontId="55" fillId="58" borderId="19" xfId="0" applyFont="1" applyFill="1" applyBorder="1" applyAlignment="1">
      <alignment horizontal="center" vertical="center"/>
    </xf>
    <xf numFmtId="0" fontId="55" fillId="58" borderId="20" xfId="0" applyFont="1" applyFill="1" applyBorder="1" applyAlignment="1">
      <alignment horizontal="center" vertical="center"/>
    </xf>
    <xf numFmtId="0" fontId="55" fillId="58" borderId="23" xfId="0" applyFont="1" applyFill="1" applyBorder="1" applyAlignment="1">
      <alignment horizontal="center" vertical="center"/>
    </xf>
    <xf numFmtId="0" fontId="55" fillId="58" borderId="13" xfId="0" applyFont="1" applyFill="1" applyBorder="1" applyAlignment="1">
      <alignment horizontal="center" vertical="center"/>
    </xf>
    <xf numFmtId="0" fontId="55" fillId="58" borderId="0" xfId="0" applyFont="1" applyFill="1" applyBorder="1" applyAlignment="1">
      <alignment horizontal="center" vertical="center"/>
    </xf>
    <xf numFmtId="0" fontId="55" fillId="58" borderId="14" xfId="0" applyFont="1" applyFill="1" applyBorder="1" applyAlignment="1">
      <alignment horizontal="center" vertical="center"/>
    </xf>
    <xf numFmtId="0" fontId="55" fillId="58" borderId="24" xfId="0" applyFont="1" applyFill="1" applyBorder="1" applyAlignment="1">
      <alignment horizontal="center" vertical="center" wrapText="1"/>
    </xf>
    <xf numFmtId="0" fontId="55" fillId="58" borderId="22" xfId="0" applyFont="1" applyFill="1" applyBorder="1" applyAlignment="1">
      <alignment horizontal="center" vertical="center" wrapText="1"/>
    </xf>
    <xf numFmtId="0" fontId="16" fillId="33" borderId="18" xfId="26" applyFont="1" applyFill="1" applyBorder="1" applyAlignment="1">
      <alignment horizontal="center"/>
    </xf>
    <xf numFmtId="0" fontId="16" fillId="33" borderId="19" xfId="26" applyFont="1" applyFill="1" applyBorder="1" applyAlignment="1">
      <alignment horizontal="center"/>
    </xf>
    <xf numFmtId="164" fontId="16" fillId="33" borderId="24" xfId="26" applyNumberFormat="1" applyFont="1" applyFill="1" applyBorder="1" applyAlignment="1">
      <alignment horizontal="center" vertical="center"/>
    </xf>
    <xf numFmtId="164" fontId="16" fillId="33" borderId="22" xfId="26" applyNumberFormat="1" applyFont="1" applyFill="1" applyBorder="1" applyAlignment="1">
      <alignment horizontal="center" vertical="center"/>
    </xf>
    <xf numFmtId="0" fontId="16" fillId="33" borderId="20" xfId="26" applyFont="1" applyFill="1" applyBorder="1" applyAlignment="1">
      <alignment horizontal="center"/>
    </xf>
    <xf numFmtId="0" fontId="18" fillId="33" borderId="0" xfId="26" applyFill="1" applyAlignment="1">
      <alignment horizontal="left" wrapText="1"/>
    </xf>
    <xf numFmtId="0" fontId="19" fillId="33" borderId="10" xfId="26" applyFont="1" applyFill="1" applyBorder="1" applyAlignment="1">
      <alignment horizontal="center"/>
    </xf>
    <xf numFmtId="0" fontId="19" fillId="33" borderId="11" xfId="26" applyFont="1" applyFill="1" applyBorder="1" applyAlignment="1">
      <alignment horizontal="center"/>
    </xf>
    <xf numFmtId="0" fontId="19" fillId="33" borderId="12" xfId="26" applyFont="1" applyFill="1" applyBorder="1" applyAlignment="1">
      <alignment horizontal="center"/>
    </xf>
    <xf numFmtId="0" fontId="20" fillId="33" borderId="13" xfId="26" applyFont="1" applyFill="1" applyBorder="1" applyAlignment="1">
      <alignment horizontal="center"/>
    </xf>
    <xf numFmtId="0" fontId="20" fillId="33" borderId="0" xfId="26" applyFont="1" applyFill="1" applyBorder="1" applyAlignment="1">
      <alignment horizontal="center"/>
    </xf>
    <xf numFmtId="0" fontId="20" fillId="33" borderId="14" xfId="26" applyFont="1" applyFill="1" applyBorder="1" applyAlignment="1">
      <alignment horizontal="center"/>
    </xf>
    <xf numFmtId="0" fontId="16" fillId="33" borderId="13" xfId="26" applyFont="1" applyFill="1" applyBorder="1" applyAlignment="1">
      <alignment horizontal="center" vertical="center"/>
    </xf>
    <xf numFmtId="0" fontId="16" fillId="33" borderId="0" xfId="26" applyFont="1" applyFill="1" applyBorder="1" applyAlignment="1">
      <alignment horizontal="center" vertical="center"/>
    </xf>
    <xf numFmtId="0" fontId="16" fillId="33" borderId="14" xfId="26" applyFont="1" applyFill="1" applyBorder="1" applyAlignment="1">
      <alignment horizontal="center" vertical="center"/>
    </xf>
    <xf numFmtId="0" fontId="16" fillId="33" borderId="15" xfId="26" applyFont="1" applyFill="1" applyBorder="1" applyAlignment="1">
      <alignment horizontal="center" vertical="top"/>
    </xf>
    <xf numFmtId="0" fontId="16" fillId="33" borderId="16" xfId="26" applyFont="1" applyFill="1" applyBorder="1" applyAlignment="1">
      <alignment horizontal="center" vertical="top"/>
    </xf>
    <xf numFmtId="0" fontId="16" fillId="33" borderId="17" xfId="26" applyFont="1" applyFill="1" applyBorder="1" applyAlignment="1">
      <alignment horizontal="center" vertical="top"/>
    </xf>
    <xf numFmtId="0" fontId="16" fillId="33" borderId="10" xfId="26" applyFont="1" applyFill="1" applyBorder="1" applyAlignment="1">
      <alignment horizontal="center" vertical="center"/>
    </xf>
    <xf numFmtId="0" fontId="16" fillId="33" borderId="11" xfId="26" applyFont="1" applyFill="1" applyBorder="1" applyAlignment="1">
      <alignment horizontal="center" vertical="center"/>
    </xf>
    <xf numFmtId="0" fontId="16" fillId="33" borderId="15" xfId="26" applyFont="1" applyFill="1" applyBorder="1" applyAlignment="1">
      <alignment horizontal="center" vertical="center"/>
    </xf>
    <xf numFmtId="0" fontId="16" fillId="33" borderId="16" xfId="26" applyFont="1" applyFill="1" applyBorder="1" applyAlignment="1">
      <alignment horizontal="center" vertical="center"/>
    </xf>
    <xf numFmtId="0" fontId="21" fillId="33" borderId="12" xfId="26" applyFont="1" applyFill="1" applyBorder="1" applyAlignment="1">
      <alignment horizontal="center" vertical="center" wrapText="1"/>
    </xf>
    <xf numFmtId="0" fontId="21" fillId="33" borderId="14" xfId="26" applyFont="1" applyFill="1" applyBorder="1" applyAlignment="1">
      <alignment horizontal="center" vertical="center" wrapText="1"/>
    </xf>
    <xf numFmtId="0" fontId="21" fillId="33" borderId="17" xfId="26" applyFont="1" applyFill="1" applyBorder="1" applyAlignment="1">
      <alignment horizontal="center" vertical="center" wrapText="1"/>
    </xf>
    <xf numFmtId="0" fontId="16" fillId="33" borderId="18" xfId="26" applyFont="1" applyFill="1" applyBorder="1" applyAlignment="1">
      <alignment horizontal="left"/>
    </xf>
    <xf numFmtId="0" fontId="16" fillId="33" borderId="20" xfId="26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</cellXfs>
  <cellStyles count="608">
    <cellStyle name="20% - Énfasis1" xfId="3" builtinId="30" customBuiltin="1"/>
    <cellStyle name="20% - Énfasis1 2" xfId="112"/>
    <cellStyle name="20% - Énfasis1 2 2" xfId="172"/>
    <cellStyle name="20% - Énfasis1 2 2 2" xfId="254"/>
    <cellStyle name="20% - Énfasis1 2 2 2 2" xfId="584"/>
    <cellStyle name="20% - Énfasis1 2 2 2 3" xfId="419"/>
    <cellStyle name="20% - Énfasis1 2 2 3" xfId="503"/>
    <cellStyle name="20% - Énfasis1 2 2 4" xfId="338"/>
    <cellStyle name="20% - Énfasis1 2 3" xfId="211"/>
    <cellStyle name="20% - Énfasis1 2 3 2" xfId="541"/>
    <cellStyle name="20% - Énfasis1 2 3 3" xfId="376"/>
    <cellStyle name="20% - Énfasis1 2 4" xfId="460"/>
    <cellStyle name="20% - Énfasis1 2 5" xfId="295"/>
    <cellStyle name="20% - Énfasis1 3" xfId="154"/>
    <cellStyle name="20% - Énfasis1 3 2" xfId="236"/>
    <cellStyle name="20% - Énfasis1 3 2 2" xfId="566"/>
    <cellStyle name="20% - Énfasis1 3 2 3" xfId="401"/>
    <cellStyle name="20% - Énfasis1 3 3" xfId="485"/>
    <cellStyle name="20% - Énfasis1 3 4" xfId="320"/>
    <cellStyle name="20% - Énfasis1 4" xfId="193"/>
    <cellStyle name="20% - Énfasis1 4 2" xfId="523"/>
    <cellStyle name="20% - Énfasis1 4 3" xfId="358"/>
    <cellStyle name="20% - Énfasis1 5" xfId="441"/>
    <cellStyle name="20% - Énfasis1 6" xfId="276"/>
    <cellStyle name="20% - Énfasis2" xfId="7" builtinId="34" customBuiltin="1"/>
    <cellStyle name="20% - Énfasis2 2" xfId="114"/>
    <cellStyle name="20% - Énfasis2 2 2" xfId="174"/>
    <cellStyle name="20% - Énfasis2 2 2 2" xfId="256"/>
    <cellStyle name="20% - Énfasis2 2 2 2 2" xfId="586"/>
    <cellStyle name="20% - Énfasis2 2 2 2 3" xfId="421"/>
    <cellStyle name="20% - Énfasis2 2 2 3" xfId="505"/>
    <cellStyle name="20% - Énfasis2 2 2 4" xfId="340"/>
    <cellStyle name="20% - Énfasis2 2 3" xfId="213"/>
    <cellStyle name="20% - Énfasis2 2 3 2" xfId="543"/>
    <cellStyle name="20% - Énfasis2 2 3 3" xfId="378"/>
    <cellStyle name="20% - Énfasis2 2 4" xfId="462"/>
    <cellStyle name="20% - Énfasis2 2 5" xfId="297"/>
    <cellStyle name="20% - Énfasis2 3" xfId="156"/>
    <cellStyle name="20% - Énfasis2 3 2" xfId="238"/>
    <cellStyle name="20% - Énfasis2 3 2 2" xfId="568"/>
    <cellStyle name="20% - Énfasis2 3 2 3" xfId="403"/>
    <cellStyle name="20% - Énfasis2 3 3" xfId="487"/>
    <cellStyle name="20% - Énfasis2 3 4" xfId="322"/>
    <cellStyle name="20% - Énfasis2 4" xfId="195"/>
    <cellStyle name="20% - Énfasis2 4 2" xfId="525"/>
    <cellStyle name="20% - Énfasis2 4 3" xfId="360"/>
    <cellStyle name="20% - Énfasis2 5" xfId="443"/>
    <cellStyle name="20% - Énfasis2 6" xfId="278"/>
    <cellStyle name="20% - Énfasis3" xfId="11" builtinId="38" customBuiltin="1"/>
    <cellStyle name="20% - Énfasis3 2" xfId="116"/>
    <cellStyle name="20% - Énfasis3 2 2" xfId="176"/>
    <cellStyle name="20% - Énfasis3 2 2 2" xfId="258"/>
    <cellStyle name="20% - Énfasis3 2 2 2 2" xfId="588"/>
    <cellStyle name="20% - Énfasis3 2 2 2 3" xfId="423"/>
    <cellStyle name="20% - Énfasis3 2 2 3" xfId="507"/>
    <cellStyle name="20% - Énfasis3 2 2 4" xfId="342"/>
    <cellStyle name="20% - Énfasis3 2 3" xfId="215"/>
    <cellStyle name="20% - Énfasis3 2 3 2" xfId="545"/>
    <cellStyle name="20% - Énfasis3 2 3 3" xfId="380"/>
    <cellStyle name="20% - Énfasis3 2 4" xfId="464"/>
    <cellStyle name="20% - Énfasis3 2 5" xfId="299"/>
    <cellStyle name="20% - Énfasis3 3" xfId="158"/>
    <cellStyle name="20% - Énfasis3 3 2" xfId="240"/>
    <cellStyle name="20% - Énfasis3 3 2 2" xfId="570"/>
    <cellStyle name="20% - Énfasis3 3 2 3" xfId="405"/>
    <cellStyle name="20% - Énfasis3 3 3" xfId="489"/>
    <cellStyle name="20% - Énfasis3 3 4" xfId="324"/>
    <cellStyle name="20% - Énfasis3 4" xfId="197"/>
    <cellStyle name="20% - Énfasis3 4 2" xfId="527"/>
    <cellStyle name="20% - Énfasis3 4 3" xfId="362"/>
    <cellStyle name="20% - Énfasis3 5" xfId="445"/>
    <cellStyle name="20% - Énfasis3 6" xfId="280"/>
    <cellStyle name="20% - Énfasis4" xfId="15" builtinId="42" customBuiltin="1"/>
    <cellStyle name="20% - Énfasis4 2" xfId="118"/>
    <cellStyle name="20% - Énfasis4 2 2" xfId="178"/>
    <cellStyle name="20% - Énfasis4 2 2 2" xfId="260"/>
    <cellStyle name="20% - Énfasis4 2 2 2 2" xfId="590"/>
    <cellStyle name="20% - Énfasis4 2 2 2 3" xfId="425"/>
    <cellStyle name="20% - Énfasis4 2 2 3" xfId="509"/>
    <cellStyle name="20% - Énfasis4 2 2 4" xfId="344"/>
    <cellStyle name="20% - Énfasis4 2 3" xfId="217"/>
    <cellStyle name="20% - Énfasis4 2 3 2" xfId="547"/>
    <cellStyle name="20% - Énfasis4 2 3 3" xfId="382"/>
    <cellStyle name="20% - Énfasis4 2 4" xfId="466"/>
    <cellStyle name="20% - Énfasis4 2 5" xfId="301"/>
    <cellStyle name="20% - Énfasis4 3" xfId="160"/>
    <cellStyle name="20% - Énfasis4 3 2" xfId="242"/>
    <cellStyle name="20% - Énfasis4 3 2 2" xfId="572"/>
    <cellStyle name="20% - Énfasis4 3 2 3" xfId="407"/>
    <cellStyle name="20% - Énfasis4 3 3" xfId="491"/>
    <cellStyle name="20% - Énfasis4 3 4" xfId="326"/>
    <cellStyle name="20% - Énfasis4 4" xfId="199"/>
    <cellStyle name="20% - Énfasis4 4 2" xfId="529"/>
    <cellStyle name="20% - Énfasis4 4 3" xfId="364"/>
    <cellStyle name="20% - Énfasis4 5" xfId="447"/>
    <cellStyle name="20% - Énfasis4 6" xfId="282"/>
    <cellStyle name="20% - Énfasis5" xfId="19" builtinId="46" customBuiltin="1"/>
    <cellStyle name="20% - Énfasis5 2" xfId="120"/>
    <cellStyle name="20% - Énfasis5 2 2" xfId="180"/>
    <cellStyle name="20% - Énfasis5 2 2 2" xfId="262"/>
    <cellStyle name="20% - Énfasis5 2 2 2 2" xfId="592"/>
    <cellStyle name="20% - Énfasis5 2 2 2 3" xfId="427"/>
    <cellStyle name="20% - Énfasis5 2 2 3" xfId="511"/>
    <cellStyle name="20% - Énfasis5 2 2 4" xfId="346"/>
    <cellStyle name="20% - Énfasis5 2 3" xfId="219"/>
    <cellStyle name="20% - Énfasis5 2 3 2" xfId="549"/>
    <cellStyle name="20% - Énfasis5 2 3 3" xfId="384"/>
    <cellStyle name="20% - Énfasis5 2 4" xfId="468"/>
    <cellStyle name="20% - Énfasis5 2 5" xfId="303"/>
    <cellStyle name="20% - Énfasis5 3" xfId="162"/>
    <cellStyle name="20% - Énfasis5 3 2" xfId="244"/>
    <cellStyle name="20% - Énfasis5 3 2 2" xfId="574"/>
    <cellStyle name="20% - Énfasis5 3 2 3" xfId="409"/>
    <cellStyle name="20% - Énfasis5 3 3" xfId="493"/>
    <cellStyle name="20% - Énfasis5 3 4" xfId="328"/>
    <cellStyle name="20% - Énfasis5 4" xfId="201"/>
    <cellStyle name="20% - Énfasis5 4 2" xfId="531"/>
    <cellStyle name="20% - Énfasis5 4 3" xfId="366"/>
    <cellStyle name="20% - Énfasis5 5" xfId="449"/>
    <cellStyle name="20% - Énfasis5 6" xfId="284"/>
    <cellStyle name="20% - Énfasis6" xfId="23" builtinId="50" customBuiltin="1"/>
    <cellStyle name="20% - Énfasis6 2" xfId="122"/>
    <cellStyle name="20% - Énfasis6 2 2" xfId="182"/>
    <cellStyle name="20% - Énfasis6 2 2 2" xfId="264"/>
    <cellStyle name="20% - Énfasis6 2 2 2 2" xfId="594"/>
    <cellStyle name="20% - Énfasis6 2 2 2 3" xfId="429"/>
    <cellStyle name="20% - Énfasis6 2 2 3" xfId="513"/>
    <cellStyle name="20% - Énfasis6 2 2 4" xfId="348"/>
    <cellStyle name="20% - Énfasis6 2 3" xfId="221"/>
    <cellStyle name="20% - Énfasis6 2 3 2" xfId="551"/>
    <cellStyle name="20% - Énfasis6 2 3 3" xfId="386"/>
    <cellStyle name="20% - Énfasis6 2 4" xfId="470"/>
    <cellStyle name="20% - Énfasis6 2 5" xfId="305"/>
    <cellStyle name="20% - Énfasis6 3" xfId="164"/>
    <cellStyle name="20% - Énfasis6 3 2" xfId="246"/>
    <cellStyle name="20% - Énfasis6 3 2 2" xfId="576"/>
    <cellStyle name="20% - Énfasis6 3 2 3" xfId="411"/>
    <cellStyle name="20% - Énfasis6 3 3" xfId="495"/>
    <cellStyle name="20% - Énfasis6 3 4" xfId="330"/>
    <cellStyle name="20% - Énfasis6 4" xfId="203"/>
    <cellStyle name="20% - Énfasis6 4 2" xfId="533"/>
    <cellStyle name="20% - Énfasis6 4 3" xfId="368"/>
    <cellStyle name="20% - Énfasis6 5" xfId="451"/>
    <cellStyle name="20% - Énfasis6 6" xfId="286"/>
    <cellStyle name="40% - Énfasis1" xfId="4" builtinId="31" customBuiltin="1"/>
    <cellStyle name="40% - Énfasis1 2" xfId="113"/>
    <cellStyle name="40% - Énfasis1 2 2" xfId="173"/>
    <cellStyle name="40% - Énfasis1 2 2 2" xfId="255"/>
    <cellStyle name="40% - Énfasis1 2 2 2 2" xfId="585"/>
    <cellStyle name="40% - Énfasis1 2 2 2 3" xfId="420"/>
    <cellStyle name="40% - Énfasis1 2 2 3" xfId="504"/>
    <cellStyle name="40% - Énfasis1 2 2 4" xfId="339"/>
    <cellStyle name="40% - Énfasis1 2 3" xfId="212"/>
    <cellStyle name="40% - Énfasis1 2 3 2" xfId="542"/>
    <cellStyle name="40% - Énfasis1 2 3 3" xfId="377"/>
    <cellStyle name="40% - Énfasis1 2 4" xfId="461"/>
    <cellStyle name="40% - Énfasis1 2 5" xfId="296"/>
    <cellStyle name="40% - Énfasis1 3" xfId="155"/>
    <cellStyle name="40% - Énfasis1 3 2" xfId="237"/>
    <cellStyle name="40% - Énfasis1 3 2 2" xfId="567"/>
    <cellStyle name="40% - Énfasis1 3 2 3" xfId="402"/>
    <cellStyle name="40% - Énfasis1 3 3" xfId="486"/>
    <cellStyle name="40% - Énfasis1 3 4" xfId="321"/>
    <cellStyle name="40% - Énfasis1 4" xfId="194"/>
    <cellStyle name="40% - Énfasis1 4 2" xfId="524"/>
    <cellStyle name="40% - Énfasis1 4 3" xfId="359"/>
    <cellStyle name="40% - Énfasis1 5" xfId="442"/>
    <cellStyle name="40% - Énfasis1 6" xfId="277"/>
    <cellStyle name="40% - Énfasis2" xfId="8" builtinId="35" customBuiltin="1"/>
    <cellStyle name="40% - Énfasis2 2" xfId="115"/>
    <cellStyle name="40% - Énfasis2 2 2" xfId="175"/>
    <cellStyle name="40% - Énfasis2 2 2 2" xfId="257"/>
    <cellStyle name="40% - Énfasis2 2 2 2 2" xfId="587"/>
    <cellStyle name="40% - Énfasis2 2 2 2 3" xfId="422"/>
    <cellStyle name="40% - Énfasis2 2 2 3" xfId="506"/>
    <cellStyle name="40% - Énfasis2 2 2 4" xfId="341"/>
    <cellStyle name="40% - Énfasis2 2 3" xfId="214"/>
    <cellStyle name="40% - Énfasis2 2 3 2" xfId="544"/>
    <cellStyle name="40% - Énfasis2 2 3 3" xfId="379"/>
    <cellStyle name="40% - Énfasis2 2 4" xfId="463"/>
    <cellStyle name="40% - Énfasis2 2 5" xfId="298"/>
    <cellStyle name="40% - Énfasis2 3" xfId="157"/>
    <cellStyle name="40% - Énfasis2 3 2" xfId="239"/>
    <cellStyle name="40% - Énfasis2 3 2 2" xfId="569"/>
    <cellStyle name="40% - Énfasis2 3 2 3" xfId="404"/>
    <cellStyle name="40% - Énfasis2 3 3" xfId="488"/>
    <cellStyle name="40% - Énfasis2 3 4" xfId="323"/>
    <cellStyle name="40% - Énfasis2 4" xfId="196"/>
    <cellStyle name="40% - Énfasis2 4 2" xfId="526"/>
    <cellStyle name="40% - Énfasis2 4 3" xfId="361"/>
    <cellStyle name="40% - Énfasis2 5" xfId="444"/>
    <cellStyle name="40% - Énfasis2 6" xfId="279"/>
    <cellStyle name="40% - Énfasis3" xfId="12" builtinId="39" customBuiltin="1"/>
    <cellStyle name="40% - Énfasis3 2" xfId="117"/>
    <cellStyle name="40% - Énfasis3 2 2" xfId="177"/>
    <cellStyle name="40% - Énfasis3 2 2 2" xfId="259"/>
    <cellStyle name="40% - Énfasis3 2 2 2 2" xfId="589"/>
    <cellStyle name="40% - Énfasis3 2 2 2 3" xfId="424"/>
    <cellStyle name="40% - Énfasis3 2 2 3" xfId="508"/>
    <cellStyle name="40% - Énfasis3 2 2 4" xfId="343"/>
    <cellStyle name="40% - Énfasis3 2 3" xfId="216"/>
    <cellStyle name="40% - Énfasis3 2 3 2" xfId="546"/>
    <cellStyle name="40% - Énfasis3 2 3 3" xfId="381"/>
    <cellStyle name="40% - Énfasis3 2 4" xfId="465"/>
    <cellStyle name="40% - Énfasis3 2 5" xfId="300"/>
    <cellStyle name="40% - Énfasis3 3" xfId="159"/>
    <cellStyle name="40% - Énfasis3 3 2" xfId="241"/>
    <cellStyle name="40% - Énfasis3 3 2 2" xfId="571"/>
    <cellStyle name="40% - Énfasis3 3 2 3" xfId="406"/>
    <cellStyle name="40% - Énfasis3 3 3" xfId="490"/>
    <cellStyle name="40% - Énfasis3 3 4" xfId="325"/>
    <cellStyle name="40% - Énfasis3 4" xfId="198"/>
    <cellStyle name="40% - Énfasis3 4 2" xfId="528"/>
    <cellStyle name="40% - Énfasis3 4 3" xfId="363"/>
    <cellStyle name="40% - Énfasis3 5" xfId="446"/>
    <cellStyle name="40% - Énfasis3 6" xfId="281"/>
    <cellStyle name="40% - Énfasis4" xfId="16" builtinId="43" customBuiltin="1"/>
    <cellStyle name="40% - Énfasis4 2" xfId="119"/>
    <cellStyle name="40% - Énfasis4 2 2" xfId="179"/>
    <cellStyle name="40% - Énfasis4 2 2 2" xfId="261"/>
    <cellStyle name="40% - Énfasis4 2 2 2 2" xfId="591"/>
    <cellStyle name="40% - Énfasis4 2 2 2 3" xfId="426"/>
    <cellStyle name="40% - Énfasis4 2 2 3" xfId="510"/>
    <cellStyle name="40% - Énfasis4 2 2 4" xfId="345"/>
    <cellStyle name="40% - Énfasis4 2 3" xfId="218"/>
    <cellStyle name="40% - Énfasis4 2 3 2" xfId="548"/>
    <cellStyle name="40% - Énfasis4 2 3 3" xfId="383"/>
    <cellStyle name="40% - Énfasis4 2 4" xfId="467"/>
    <cellStyle name="40% - Énfasis4 2 5" xfId="302"/>
    <cellStyle name="40% - Énfasis4 3" xfId="161"/>
    <cellStyle name="40% - Énfasis4 3 2" xfId="243"/>
    <cellStyle name="40% - Énfasis4 3 2 2" xfId="573"/>
    <cellStyle name="40% - Énfasis4 3 2 3" xfId="408"/>
    <cellStyle name="40% - Énfasis4 3 3" xfId="492"/>
    <cellStyle name="40% - Énfasis4 3 4" xfId="327"/>
    <cellStyle name="40% - Énfasis4 4" xfId="200"/>
    <cellStyle name="40% - Énfasis4 4 2" xfId="530"/>
    <cellStyle name="40% - Énfasis4 4 3" xfId="365"/>
    <cellStyle name="40% - Énfasis4 5" xfId="448"/>
    <cellStyle name="40% - Énfasis4 6" xfId="283"/>
    <cellStyle name="40% - Énfasis5" xfId="20" builtinId="47" customBuiltin="1"/>
    <cellStyle name="40% - Énfasis5 2" xfId="121"/>
    <cellStyle name="40% - Énfasis5 2 2" xfId="181"/>
    <cellStyle name="40% - Énfasis5 2 2 2" xfId="263"/>
    <cellStyle name="40% - Énfasis5 2 2 2 2" xfId="593"/>
    <cellStyle name="40% - Énfasis5 2 2 2 3" xfId="428"/>
    <cellStyle name="40% - Énfasis5 2 2 3" xfId="512"/>
    <cellStyle name="40% - Énfasis5 2 2 4" xfId="347"/>
    <cellStyle name="40% - Énfasis5 2 3" xfId="220"/>
    <cellStyle name="40% - Énfasis5 2 3 2" xfId="550"/>
    <cellStyle name="40% - Énfasis5 2 3 3" xfId="385"/>
    <cellStyle name="40% - Énfasis5 2 4" xfId="469"/>
    <cellStyle name="40% - Énfasis5 2 5" xfId="304"/>
    <cellStyle name="40% - Énfasis5 3" xfId="163"/>
    <cellStyle name="40% - Énfasis5 3 2" xfId="245"/>
    <cellStyle name="40% - Énfasis5 3 2 2" xfId="575"/>
    <cellStyle name="40% - Énfasis5 3 2 3" xfId="410"/>
    <cellStyle name="40% - Énfasis5 3 3" xfId="494"/>
    <cellStyle name="40% - Énfasis5 3 4" xfId="329"/>
    <cellStyle name="40% - Énfasis5 4" xfId="202"/>
    <cellStyle name="40% - Énfasis5 4 2" xfId="532"/>
    <cellStyle name="40% - Énfasis5 4 3" xfId="367"/>
    <cellStyle name="40% - Énfasis5 5" xfId="450"/>
    <cellStyle name="40% - Énfasis5 6" xfId="285"/>
    <cellStyle name="40% - Énfasis6" xfId="24" builtinId="51" customBuiltin="1"/>
    <cellStyle name="40% - Énfasis6 2" xfId="123"/>
    <cellStyle name="40% - Énfasis6 2 2" xfId="183"/>
    <cellStyle name="40% - Énfasis6 2 2 2" xfId="265"/>
    <cellStyle name="40% - Énfasis6 2 2 2 2" xfId="595"/>
    <cellStyle name="40% - Énfasis6 2 2 2 3" xfId="430"/>
    <cellStyle name="40% - Énfasis6 2 2 3" xfId="514"/>
    <cellStyle name="40% - Énfasis6 2 2 4" xfId="349"/>
    <cellStyle name="40% - Énfasis6 2 3" xfId="222"/>
    <cellStyle name="40% - Énfasis6 2 3 2" xfId="552"/>
    <cellStyle name="40% - Énfasis6 2 3 3" xfId="387"/>
    <cellStyle name="40% - Énfasis6 2 4" xfId="471"/>
    <cellStyle name="40% - Énfasis6 2 5" xfId="306"/>
    <cellStyle name="40% - Énfasis6 3" xfId="165"/>
    <cellStyle name="40% - Énfasis6 3 2" xfId="247"/>
    <cellStyle name="40% - Énfasis6 3 2 2" xfId="577"/>
    <cellStyle name="40% - Énfasis6 3 2 3" xfId="412"/>
    <cellStyle name="40% - Énfasis6 3 3" xfId="496"/>
    <cellStyle name="40% - Énfasis6 3 4" xfId="331"/>
    <cellStyle name="40% - Énfasis6 4" xfId="204"/>
    <cellStyle name="40% - Énfasis6 4 2" xfId="534"/>
    <cellStyle name="40% - Énfasis6 4 3" xfId="369"/>
    <cellStyle name="40% - Énfasis6 5" xfId="452"/>
    <cellStyle name="40% - Énfasis6 6" xfId="287"/>
    <cellStyle name="60% - Énfasis1" xfId="5" builtinId="32" customBuiltin="1"/>
    <cellStyle name="60% - Énfasis2" xfId="9" builtinId="36" customBuiltin="1"/>
    <cellStyle name="60% - Énfasis3" xfId="13" builtinId="40" customBuiltin="1"/>
    <cellStyle name="60% - Énfasis4" xfId="17" builtinId="44" customBuiltin="1"/>
    <cellStyle name="60% - Énfasis5" xfId="21" builtinId="48" customBuiltin="1"/>
    <cellStyle name="60% - Énfasis6" xfId="25" builtinId="52" customBuiltin="1"/>
    <cellStyle name="Buena 2" xfId="98"/>
    <cellStyle name="Buena 3" xfId="129"/>
    <cellStyle name="Buena 4" xfId="31"/>
    <cellStyle name="Cálculo 2" xfId="103"/>
    <cellStyle name="Cálculo 3" xfId="134"/>
    <cellStyle name="Cálculo 4" xfId="36"/>
    <cellStyle name="Celda de comprobación 2" xfId="105"/>
    <cellStyle name="Celda de comprobación 3" xfId="136"/>
    <cellStyle name="Celda de comprobación 4" xfId="38"/>
    <cellStyle name="Celda vinculada 2" xfId="104"/>
    <cellStyle name="Celda vinculada 3" xfId="135"/>
    <cellStyle name="Celda vinculada 4" xfId="37"/>
    <cellStyle name="Encabezado 4 2" xfId="97"/>
    <cellStyle name="Encabezado 4 3" xfId="128"/>
    <cellStyle name="Encabezado 4 4" xfId="30"/>
    <cellStyle name="Énfasis1" xfId="2" builtinId="29" customBuiltin="1"/>
    <cellStyle name="Énfasis2" xfId="6" builtinId="33" customBuiltin="1"/>
    <cellStyle name="Énfasis3" xfId="10" builtinId="37" customBuiltin="1"/>
    <cellStyle name="Énfasis4" xfId="14" builtinId="41" customBuiltin="1"/>
    <cellStyle name="Énfasis5" xfId="18" builtinId="45" customBuiltin="1"/>
    <cellStyle name="Énfasis6" xfId="22" builtinId="49" customBuiltin="1"/>
    <cellStyle name="Entrada 2" xfId="101"/>
    <cellStyle name="Entrada 3" xfId="132"/>
    <cellStyle name="Entrada 4" xfId="34"/>
    <cellStyle name="Incorrecto 2" xfId="99"/>
    <cellStyle name="Incorrecto 3" xfId="130"/>
    <cellStyle name="Incorrecto 4" xfId="32"/>
    <cellStyle name="Millares 2" xfId="607"/>
    <cellStyle name="Neutral 2" xfId="100"/>
    <cellStyle name="Neutral 3" xfId="131"/>
    <cellStyle name="Neutral 4" xfId="33"/>
    <cellStyle name="Normal" xfId="0" builtinId="0"/>
    <cellStyle name="Normal 10" xfId="606"/>
    <cellStyle name="Normal 2" xfId="84"/>
    <cellStyle name="Normal 2 2" xfId="143"/>
    <cellStyle name="Normal 2 2 2" xfId="187"/>
    <cellStyle name="Normal 2 2 2 2" xfId="268"/>
    <cellStyle name="Normal 2 2 2 2 2" xfId="598"/>
    <cellStyle name="Normal 2 2 2 2 3" xfId="433"/>
    <cellStyle name="Normal 2 2 2 3" xfId="517"/>
    <cellStyle name="Normal 2 2 2 4" xfId="352"/>
    <cellStyle name="Normal 2 2 3" xfId="225"/>
    <cellStyle name="Normal 2 2 3 2" xfId="555"/>
    <cellStyle name="Normal 2 2 3 3" xfId="390"/>
    <cellStyle name="Normal 2 2 4" xfId="474"/>
    <cellStyle name="Normal 2 2 5" xfId="309"/>
    <cellStyle name="Normal 2 3" xfId="168"/>
    <cellStyle name="Normal 2 3 2" xfId="250"/>
    <cellStyle name="Normal 2 3 2 2" xfId="580"/>
    <cellStyle name="Normal 2 3 2 3" xfId="415"/>
    <cellStyle name="Normal 2 3 3" xfId="499"/>
    <cellStyle name="Normal 2 3 4" xfId="334"/>
    <cellStyle name="Normal 2 4" xfId="148"/>
    <cellStyle name="Normal 2 4 2" xfId="230"/>
    <cellStyle name="Normal 2 4 2 2" xfId="560"/>
    <cellStyle name="Normal 2 4 2 3" xfId="395"/>
    <cellStyle name="Normal 2 4 3" xfId="479"/>
    <cellStyle name="Normal 2 4 4" xfId="314"/>
    <cellStyle name="Normal 2 5" xfId="207"/>
    <cellStyle name="Normal 2 5 2" xfId="537"/>
    <cellStyle name="Normal 2 5 3" xfId="372"/>
    <cellStyle name="Normal 2 6" xfId="92"/>
    <cellStyle name="Normal 2 6 2" xfId="456"/>
    <cellStyle name="Normal 2 6 3" xfId="291"/>
    <cellStyle name="Normal 2 7" xfId="439"/>
    <cellStyle name="Normal 2 8" xfId="274"/>
    <cellStyle name="Normal 29" xfId="603"/>
    <cellStyle name="Normal 3" xfId="43"/>
    <cellStyle name="Normal 3 2" xfId="85"/>
    <cellStyle name="Normal 3 2 2" xfId="142"/>
    <cellStyle name="Normal 3 2 2 2" xfId="186"/>
    <cellStyle name="Normal 3 2 2 2 2" xfId="267"/>
    <cellStyle name="Normal 3 2 2 2 2 2" xfId="597"/>
    <cellStyle name="Normal 3 2 2 2 2 3" xfId="432"/>
    <cellStyle name="Normal 3 2 2 2 3" xfId="516"/>
    <cellStyle name="Normal 3 2 2 2 4" xfId="351"/>
    <cellStyle name="Normal 3 2 2 3" xfId="224"/>
    <cellStyle name="Normal 3 2 2 3 2" xfId="554"/>
    <cellStyle name="Normal 3 2 2 3 3" xfId="389"/>
    <cellStyle name="Normal 3 2 2 4" xfId="473"/>
    <cellStyle name="Normal 3 2 2 5" xfId="308"/>
    <cellStyle name="Normal 3 2 3" xfId="167"/>
    <cellStyle name="Normal 3 2 3 2" xfId="249"/>
    <cellStyle name="Normal 3 2 3 2 2" xfId="579"/>
    <cellStyle name="Normal 3 2 3 2 3" xfId="414"/>
    <cellStyle name="Normal 3 2 3 3" xfId="498"/>
    <cellStyle name="Normal 3 2 3 4" xfId="333"/>
    <cellStyle name="Normal 3 2 4" xfId="153"/>
    <cellStyle name="Normal 3 2 4 2" xfId="235"/>
    <cellStyle name="Normal 3 2 4 2 2" xfId="565"/>
    <cellStyle name="Normal 3 2 4 2 3" xfId="400"/>
    <cellStyle name="Normal 3 2 4 3" xfId="484"/>
    <cellStyle name="Normal 3 2 4 4" xfId="319"/>
    <cellStyle name="Normal 3 2 5" xfId="206"/>
    <cellStyle name="Normal 3 2 5 2" xfId="536"/>
    <cellStyle name="Normal 3 2 5 3" xfId="371"/>
    <cellStyle name="Normal 3 2 6" xfId="91"/>
    <cellStyle name="Normal 3 2 6 2" xfId="455"/>
    <cellStyle name="Normal 3 2 6 3" xfId="290"/>
    <cellStyle name="Normal 3 2 7" xfId="440"/>
    <cellStyle name="Normal 3 2 8" xfId="275"/>
    <cellStyle name="Normal 3 3" xfId="141"/>
    <cellStyle name="Normal 3 3 2" xfId="185"/>
    <cellStyle name="Normal 3 3 2 2" xfId="266"/>
    <cellStyle name="Normal 3 3 2 2 2" xfId="596"/>
    <cellStyle name="Normal 3 3 2 2 3" xfId="431"/>
    <cellStyle name="Normal 3 3 2 3" xfId="515"/>
    <cellStyle name="Normal 3 3 2 4" xfId="350"/>
    <cellStyle name="Normal 3 3 3" xfId="152"/>
    <cellStyle name="Normal 3 3 3 2" xfId="234"/>
    <cellStyle name="Normal 3 3 3 2 2" xfId="564"/>
    <cellStyle name="Normal 3 3 3 2 3" xfId="399"/>
    <cellStyle name="Normal 3 3 3 3" xfId="483"/>
    <cellStyle name="Normal 3 3 3 4" xfId="318"/>
    <cellStyle name="Normal 3 3 4" xfId="223"/>
    <cellStyle name="Normal 3 3 4 2" xfId="553"/>
    <cellStyle name="Normal 3 3 4 3" xfId="388"/>
    <cellStyle name="Normal 3 3 5" xfId="472"/>
    <cellStyle name="Normal 3 3 6" xfId="307"/>
    <cellStyle name="Normal 3 4" xfId="90"/>
    <cellStyle name="Normal 3 4 2" xfId="166"/>
    <cellStyle name="Normal 3 4 2 2" xfId="248"/>
    <cellStyle name="Normal 3 4 2 2 2" xfId="578"/>
    <cellStyle name="Normal 3 4 2 2 3" xfId="413"/>
    <cellStyle name="Normal 3 4 2 3" xfId="497"/>
    <cellStyle name="Normal 3 4 2 4" xfId="332"/>
    <cellStyle name="Normal 3 4 3" xfId="205"/>
    <cellStyle name="Normal 3 4 3 2" xfId="535"/>
    <cellStyle name="Normal 3 4 3 3" xfId="370"/>
    <cellStyle name="Normal 3 4 4" xfId="454"/>
    <cellStyle name="Normal 3 4 5" xfId="289"/>
    <cellStyle name="Normal 3 5" xfId="149"/>
    <cellStyle name="Normal 3 5 2" xfId="231"/>
    <cellStyle name="Normal 3 5 2 2" xfId="561"/>
    <cellStyle name="Normal 3 5 2 3" xfId="396"/>
    <cellStyle name="Normal 3 5 3" xfId="480"/>
    <cellStyle name="Normal 3 5 4" xfId="315"/>
    <cellStyle name="Normal 3 6" xfId="192"/>
    <cellStyle name="Normal 3 6 2" xfId="522"/>
    <cellStyle name="Normal 3 6 3" xfId="357"/>
    <cellStyle name="Normal 3 7" xfId="89"/>
    <cellStyle name="Normal 3 7 2" xfId="453"/>
    <cellStyle name="Normal 3 7 3" xfId="288"/>
    <cellStyle name="Normal 3 8" xfId="438"/>
    <cellStyle name="Normal 3 9" xfId="273"/>
    <cellStyle name="Normal 4" xfId="124"/>
    <cellStyle name="Normal 4 2" xfId="184"/>
    <cellStyle name="Normal 4 3" xfId="150"/>
    <cellStyle name="Normal 4 3 2" xfId="232"/>
    <cellStyle name="Normal 4 3 2 2" xfId="562"/>
    <cellStyle name="Normal 4 3 2 3" xfId="397"/>
    <cellStyle name="Normal 4 3 3" xfId="481"/>
    <cellStyle name="Normal 4 3 4" xfId="316"/>
    <cellStyle name="Normal 5" xfId="110"/>
    <cellStyle name="Normal 5 2" xfId="145"/>
    <cellStyle name="Normal 5 2 2" xfId="189"/>
    <cellStyle name="Normal 5 2 2 2" xfId="270"/>
    <cellStyle name="Normal 5 2 2 2 2" xfId="600"/>
    <cellStyle name="Normal 5 2 2 2 3" xfId="435"/>
    <cellStyle name="Normal 5 2 2 3" xfId="519"/>
    <cellStyle name="Normal 5 2 2 4" xfId="354"/>
    <cellStyle name="Normal 5 2 3" xfId="227"/>
    <cellStyle name="Normal 5 2 3 2" xfId="557"/>
    <cellStyle name="Normal 5 2 3 3" xfId="392"/>
    <cellStyle name="Normal 5 2 4" xfId="476"/>
    <cellStyle name="Normal 5 2 5" xfId="311"/>
    <cellStyle name="Normal 5 3" xfId="147"/>
    <cellStyle name="Normal 5 3 2" xfId="191"/>
    <cellStyle name="Normal 5 3 2 2" xfId="272"/>
    <cellStyle name="Normal 5 3 2 2 2" xfId="602"/>
    <cellStyle name="Normal 5 3 2 2 3" xfId="437"/>
    <cellStyle name="Normal 5 3 2 3" xfId="521"/>
    <cellStyle name="Normal 5 3 2 4" xfId="356"/>
    <cellStyle name="Normal 5 3 3" xfId="229"/>
    <cellStyle name="Normal 5 3 3 2" xfId="559"/>
    <cellStyle name="Normal 5 3 3 3" xfId="394"/>
    <cellStyle name="Normal 5 3 4" xfId="478"/>
    <cellStyle name="Normal 5 3 5" xfId="313"/>
    <cellStyle name="Normal 5 4" xfId="170"/>
    <cellStyle name="Normal 5 4 2" xfId="252"/>
    <cellStyle name="Normal 5 4 2 2" xfId="582"/>
    <cellStyle name="Normal 5 4 2 3" xfId="417"/>
    <cellStyle name="Normal 5 4 3" xfId="501"/>
    <cellStyle name="Normal 5 4 4" xfId="336"/>
    <cellStyle name="Normal 5 5" xfId="151"/>
    <cellStyle name="Normal 5 5 2" xfId="233"/>
    <cellStyle name="Normal 5 5 2 2" xfId="563"/>
    <cellStyle name="Normal 5 5 2 3" xfId="398"/>
    <cellStyle name="Normal 5 5 3" xfId="482"/>
    <cellStyle name="Normal 5 5 4" xfId="317"/>
    <cellStyle name="Normal 5 6" xfId="209"/>
    <cellStyle name="Normal 5 6 2" xfId="539"/>
    <cellStyle name="Normal 5 6 3" xfId="374"/>
    <cellStyle name="Normal 5 7" xfId="458"/>
    <cellStyle name="Normal 5 8" xfId="293"/>
    <cellStyle name="Normal 6" xfId="146"/>
    <cellStyle name="Normal 6 2" xfId="190"/>
    <cellStyle name="Normal 6 2 2" xfId="271"/>
    <cellStyle name="Normal 6 2 2 2" xfId="601"/>
    <cellStyle name="Normal 6 2 2 3" xfId="436"/>
    <cellStyle name="Normal 6 2 3" xfId="520"/>
    <cellStyle name="Normal 6 2 4" xfId="355"/>
    <cellStyle name="Normal 6 3" xfId="228"/>
    <cellStyle name="Normal 6 3 2" xfId="558"/>
    <cellStyle name="Normal 6 3 3" xfId="393"/>
    <cellStyle name="Normal 6 4" xfId="477"/>
    <cellStyle name="Normal 6 5" xfId="312"/>
    <cellStyle name="Normal 7" xfId="86"/>
    <cellStyle name="Normal 7 2" xfId="604"/>
    <cellStyle name="Normal 8" xfId="26"/>
    <cellStyle name="Normal 9" xfId="605"/>
    <cellStyle name="Notas 2" xfId="107"/>
    <cellStyle name="Notas 2 2" xfId="144"/>
    <cellStyle name="Notas 2 2 2" xfId="188"/>
    <cellStyle name="Notas 2 2 2 2" xfId="269"/>
    <cellStyle name="Notas 2 2 2 2 2" xfId="599"/>
    <cellStyle name="Notas 2 2 2 2 3" xfId="434"/>
    <cellStyle name="Notas 2 2 2 3" xfId="518"/>
    <cellStyle name="Notas 2 2 2 4" xfId="353"/>
    <cellStyle name="Notas 2 2 3" xfId="226"/>
    <cellStyle name="Notas 2 2 3 2" xfId="556"/>
    <cellStyle name="Notas 2 2 3 3" xfId="391"/>
    <cellStyle name="Notas 2 2 4" xfId="475"/>
    <cellStyle name="Notas 2 2 5" xfId="310"/>
    <cellStyle name="Notas 2 3" xfId="169"/>
    <cellStyle name="Notas 2 3 2" xfId="251"/>
    <cellStyle name="Notas 2 3 2 2" xfId="581"/>
    <cellStyle name="Notas 2 3 2 3" xfId="416"/>
    <cellStyle name="Notas 2 3 3" xfId="500"/>
    <cellStyle name="Notas 2 3 4" xfId="335"/>
    <cellStyle name="Notas 2 4" xfId="208"/>
    <cellStyle name="Notas 2 4 2" xfId="538"/>
    <cellStyle name="Notas 2 4 3" xfId="373"/>
    <cellStyle name="Notas 2 5" xfId="457"/>
    <cellStyle name="Notas 2 6" xfId="292"/>
    <cellStyle name="Notas 3" xfId="138"/>
    <cellStyle name="Notas 4" xfId="111"/>
    <cellStyle name="Notas 4 2" xfId="171"/>
    <cellStyle name="Notas 4 2 2" xfId="253"/>
    <cellStyle name="Notas 4 2 2 2" xfId="583"/>
    <cellStyle name="Notas 4 2 2 3" xfId="418"/>
    <cellStyle name="Notas 4 2 3" xfId="502"/>
    <cellStyle name="Notas 4 2 4" xfId="337"/>
    <cellStyle name="Notas 4 3" xfId="210"/>
    <cellStyle name="Notas 4 3 2" xfId="540"/>
    <cellStyle name="Notas 4 3 3" xfId="375"/>
    <cellStyle name="Notas 4 4" xfId="459"/>
    <cellStyle name="Notas 4 5" xfId="294"/>
    <cellStyle name="Notas 5" xfId="40"/>
    <cellStyle name="Salida 2" xfId="102"/>
    <cellStyle name="Salida 3" xfId="133"/>
    <cellStyle name="Salida 4" xfId="35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Item 2" xfId="87"/>
    <cellStyle name="SAPBEXheaderText" xfId="63"/>
    <cellStyle name="SAPBEXheaderText 2" xfId="88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inputData" xfId="72"/>
    <cellStyle name="SAPBEXresData" xfId="73"/>
    <cellStyle name="SAPBEXresDataEmph" xfId="74"/>
    <cellStyle name="SAPBEXresItem" xfId="75"/>
    <cellStyle name="SAPBEXresItemX" xfId="76"/>
    <cellStyle name="SAPBEXstdData" xfId="77"/>
    <cellStyle name="SAPBEXstdDataEmph" xfId="78"/>
    <cellStyle name="SAPBEXstdItem" xfId="79"/>
    <cellStyle name="SAPBEXstdItemX" xfId="80"/>
    <cellStyle name="SAPBEXtitle" xfId="81"/>
    <cellStyle name="SAPBEXundefined" xfId="82"/>
    <cellStyle name="Sheet Title" xfId="83"/>
    <cellStyle name="Texto de advertencia 2" xfId="106"/>
    <cellStyle name="Texto de advertencia 3" xfId="137"/>
    <cellStyle name="Texto de advertencia 4" xfId="39"/>
    <cellStyle name="Texto explicativo 2" xfId="108"/>
    <cellStyle name="Texto explicativo 3" xfId="139"/>
    <cellStyle name="Texto explicativo 4" xfId="41"/>
    <cellStyle name="Título" xfId="1" builtinId="15" customBuiltin="1"/>
    <cellStyle name="Título 1 2" xfId="94"/>
    <cellStyle name="Título 1 3" xfId="125"/>
    <cellStyle name="Título 1 4" xfId="27"/>
    <cellStyle name="Título 2 2" xfId="95"/>
    <cellStyle name="Título 2 3" xfId="126"/>
    <cellStyle name="Título 2 4" xfId="28"/>
    <cellStyle name="Título 3 2" xfId="96"/>
    <cellStyle name="Título 3 3" xfId="127"/>
    <cellStyle name="Título 3 4" xfId="29"/>
    <cellStyle name="Título 4" xfId="93"/>
    <cellStyle name="Total 2" xfId="109"/>
    <cellStyle name="Total 3" xfId="140"/>
    <cellStyle name="Total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gif"/><Relationship Id="rId2" Type="http://schemas.openxmlformats.org/officeDocument/2006/relationships/image" Target="../media/image7.gif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250032</xdr:colOff>
      <xdr:row>1</xdr:row>
      <xdr:rowOff>23814</xdr:rowOff>
    </xdr:from>
    <xdr:ext cx="740568" cy="725898"/>
    <xdr:pic>
      <xdr:nvPicPr>
        <xdr:cNvPr id="2" name="6 Imagen">
          <a:extLst>
            <a:ext uri="{FF2B5EF4-FFF2-40B4-BE49-F238E27FC236}">
              <a16:creationId xmlns:a16="http://schemas.microsoft.com/office/drawing/2014/main" xmlns="" id="{8BB0C1EC-3DCD-4EEE-8439-94AED20E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032" y="214314"/>
          <a:ext cx="740568" cy="72589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0</xdr:col>
      <xdr:colOff>749300</xdr:colOff>
      <xdr:row>0</xdr:row>
      <xdr:rowOff>1588</xdr:rowOff>
    </xdr:to>
    <xdr:pic macro="[2]!DesignIconClicked">
      <xdr:nvPicPr>
        <xdr:cNvPr id="3" name="BExGPK5XJS6YJV6WPMC7N61C0YUU" hidden="1">
          <a:extLst>
            <a:ext uri="{FF2B5EF4-FFF2-40B4-BE49-F238E27FC236}">
              <a16:creationId xmlns:a16="http://schemas.microsoft.com/office/drawing/2014/main" xmlns="" id="{D1FA62A6-10FB-4466-8174-E120768D2D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9300" cy="158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787400</xdr:colOff>
      <xdr:row>0</xdr:row>
      <xdr:rowOff>1588</xdr:rowOff>
    </xdr:to>
    <xdr:pic macro="[2]!DesignIconClicked">
      <xdr:nvPicPr>
        <xdr:cNvPr id="4" name="BExZSQIMT19O4ZSCQBU537AXUEZE" hidden="1">
          <a:extLst>
            <a:ext uri="{FF2B5EF4-FFF2-40B4-BE49-F238E27FC236}">
              <a16:creationId xmlns:a16="http://schemas.microsoft.com/office/drawing/2014/main" xmlns="" id="{C23A27A3-06C3-4D41-831D-FA36E2B8B6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58825" cy="158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6264275</xdr:colOff>
      <xdr:row>0</xdr:row>
      <xdr:rowOff>1588</xdr:rowOff>
    </xdr:to>
    <xdr:pic macro="[2]!DesignIconClicked">
      <xdr:nvPicPr>
        <xdr:cNvPr id="5" name="BEx7L6ZFKQBYOYHSXITNTM89DH1P" hidden="1">
          <a:extLst>
            <a:ext uri="{FF2B5EF4-FFF2-40B4-BE49-F238E27FC236}">
              <a16:creationId xmlns:a16="http://schemas.microsoft.com/office/drawing/2014/main" xmlns="" id="{924FBD84-5AA6-4ACF-BB75-7F0B8230B8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0"/>
          <a:ext cx="758825" cy="1588"/>
        </a:xfrm>
        <a:prstGeom prst="rect">
          <a:avLst/>
        </a:prstGeom>
      </xdr:spPr>
    </xdr:pic>
    <xdr:clientData/>
  </xdr:twoCellAnchor>
  <xdr:twoCellAnchor>
    <xdr:from>
      <xdr:col>2</xdr:col>
      <xdr:colOff>2267102</xdr:colOff>
      <xdr:row>77</xdr:row>
      <xdr:rowOff>156615</xdr:rowOff>
    </xdr:from>
    <xdr:to>
      <xdr:col>3</xdr:col>
      <xdr:colOff>451675</xdr:colOff>
      <xdr:row>77</xdr:row>
      <xdr:rowOff>161378</xdr:rowOff>
    </xdr:to>
    <xdr:cxnSp macro="">
      <xdr:nvCxnSpPr>
        <xdr:cNvPr id="6" name="5 Conector recto"/>
        <xdr:cNvCxnSpPr/>
      </xdr:nvCxnSpPr>
      <xdr:spPr>
        <a:xfrm>
          <a:off x="2286152" y="14825115"/>
          <a:ext cx="451523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796925</xdr:colOff>
      <xdr:row>1</xdr:row>
      <xdr:rowOff>1587</xdr:rowOff>
    </xdr:to>
    <xdr:pic macro="[2]!DesignIconClicked">
      <xdr:nvPicPr>
        <xdr:cNvPr id="2" name="BExZPD4ZFWE2VDGMCYS07H66SW7S" hidden="1">
          <a:extLst>
            <a:ext uri="{FF2B5EF4-FFF2-40B4-BE49-F238E27FC236}">
              <a16:creationId xmlns:a16="http://schemas.microsoft.com/office/drawing/2014/main" xmlns="" id="{78479E73-3694-4921-8C3E-905A458EEA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79692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225425</xdr:colOff>
      <xdr:row>1</xdr:row>
      <xdr:rowOff>1587</xdr:rowOff>
    </xdr:to>
    <xdr:pic macro="[2]!DesignIconClicked">
      <xdr:nvPicPr>
        <xdr:cNvPr id="3" name="BExCVWWOZII8NFIAT3E7QFX50E4E" hidden="1">
          <a:extLst>
            <a:ext uri="{FF2B5EF4-FFF2-40B4-BE49-F238E27FC236}">
              <a16:creationId xmlns:a16="http://schemas.microsoft.com/office/drawing/2014/main" xmlns="" id="{0C0519FA-0880-447B-9C9D-934B23032E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5425" cy="1587"/>
        </a:xfrm>
        <a:prstGeom prst="rect">
          <a:avLst/>
        </a:prstGeom>
      </xdr:spPr>
    </xdr:pic>
    <xdr:clientData/>
  </xdr:twoCellAnchor>
  <xdr:twoCellAnchor editAs="oneCell">
    <xdr:from>
      <xdr:col>1</xdr:col>
      <xdr:colOff>90488</xdr:colOff>
      <xdr:row>1</xdr:row>
      <xdr:rowOff>19050</xdr:rowOff>
    </xdr:from>
    <xdr:to>
      <xdr:col>3</xdr:col>
      <xdr:colOff>443095</xdr:colOff>
      <xdr:row>4</xdr:row>
      <xdr:rowOff>190500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8535AF23-32F3-43D4-8CDB-6185ABBD5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8" y="19050"/>
          <a:ext cx="1009832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2</xdr:row>
      <xdr:rowOff>29173</xdr:rowOff>
    </xdr:from>
    <xdr:to>
      <xdr:col>1</xdr:col>
      <xdr:colOff>495300</xdr:colOff>
      <xdr:row>4</xdr:row>
      <xdr:rowOff>382830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229198"/>
          <a:ext cx="864394" cy="79180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1196975</xdr:colOff>
      <xdr:row>1</xdr:row>
      <xdr:rowOff>1587</xdr:rowOff>
    </xdr:to>
    <xdr:pic macro="[2]!DesignIconClicked">
      <xdr:nvPicPr>
        <xdr:cNvPr id="5" name="BExY1L7M7O43JDJQRBI0RU7PSBZ2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0"/>
          <a:ext cx="1196975" cy="158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2]!DesignIconClicked">
      <xdr:nvPicPr>
        <xdr:cNvPr id="6" name="BEx1IN619J4PXKKZMRK4KVYKNGQQ" hidden="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0"/>
          <a:ext cx="749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844550</xdr:colOff>
      <xdr:row>1</xdr:row>
      <xdr:rowOff>1587</xdr:rowOff>
    </xdr:to>
    <xdr:pic macro="[2]!DesignIconClicked">
      <xdr:nvPicPr>
        <xdr:cNvPr id="3" name="BExB2U2MEIEGXNJ4V50POCIAVIAV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4550" cy="1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2</xdr:row>
      <xdr:rowOff>19648</xdr:rowOff>
    </xdr:from>
    <xdr:to>
      <xdr:col>0</xdr:col>
      <xdr:colOff>823897</xdr:colOff>
      <xdr:row>4</xdr:row>
      <xdr:rowOff>190500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7" y="219673"/>
          <a:ext cx="735790" cy="609002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4</xdr:col>
      <xdr:colOff>749300</xdr:colOff>
      <xdr:row>1</xdr:row>
      <xdr:rowOff>1587</xdr:rowOff>
    </xdr:to>
    <xdr:pic macro="[2]!DesignIconClicked">
      <xdr:nvPicPr>
        <xdr:cNvPr id="3" name="BExMLKV9F5Q4TDHEU9DYAJN0HO2N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0" y="0"/>
          <a:ext cx="74930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368300</xdr:colOff>
      <xdr:row>1</xdr:row>
      <xdr:rowOff>1587</xdr:rowOff>
    </xdr:to>
    <xdr:pic macro="[2]!DesignIconClicked">
      <xdr:nvPicPr>
        <xdr:cNvPr id="4" name="BExZKW1U8F4CR7RLHCGTV58AN7KE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0"/>
          <a:ext cx="3683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3473450</xdr:colOff>
      <xdr:row>1</xdr:row>
      <xdr:rowOff>1587</xdr:rowOff>
    </xdr:to>
    <xdr:pic macro="[2]!DesignIconClicked">
      <xdr:nvPicPr>
        <xdr:cNvPr id="5" name="BEx3O6I8TX3JNRAYR5HIGSAZDTDJ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73450" cy="15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2695222</xdr:colOff>
      <xdr:row>0</xdr:row>
      <xdr:rowOff>76200</xdr:rowOff>
    </xdr:from>
    <xdr:to>
      <xdr:col>2</xdr:col>
      <xdr:colOff>628650</xdr:colOff>
      <xdr:row>5</xdr:row>
      <xdr:rowOff>99936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95222" y="76200"/>
          <a:ext cx="2572103" cy="8333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3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4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5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6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7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8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9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0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1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2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3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4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5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6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7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8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19" name="BExB3JEA8WJWW7ZJJXEIFWLPL6AL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0" name="BEx3DCG31N52PDLPV743MJ4P9VE5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1" name="BExIRADYB4DVAU70DUPZGNQIRIL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2" name="BExCY8DK05DM5BSEY9N2HOI3KU1R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3" name="BExF5ON7GM7LWROVYTCETT5011B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4" name="BEx9I7KVCY8TK4AGPU8OJVJD1CZ6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5" name="BExU9T8LJ8EB73V8F77O4P1X1GV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6" name="BExCTT34E529TWFII0K8S7NM70IW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7" name="BEx1NNQKWLSSRTIT7QYKCKQIOYXP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8" name="BExGTR7L2KOVAVR5RGC3Q0ZC7RU1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29" name="BExSBKAGC9649EG55B1JQ8XRMB17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30" name="BEx1UR8AMC26TR8ZHUI9MCBKWHIV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31" name="BEx5B6EQ4ZTDMI23Y7MGCAB697K6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32" name="BExB779J8D4US61G3ZOIJECFEEJL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33" name="BExUCAUHTK39HWQRUZCIORQQ1U3F" descr="SortAscending.gif"/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0</xdr:colOff>
      <xdr:row>247</xdr:row>
      <xdr:rowOff>0</xdr:rowOff>
    </xdr:from>
    <xdr:to>
      <xdr:col>5</xdr:col>
      <xdr:colOff>50800</xdr:colOff>
      <xdr:row>247</xdr:row>
      <xdr:rowOff>50800</xdr:rowOff>
    </xdr:to>
    <xdr:pic macro="[2]!DesignIconClicked">
      <xdr:nvPicPr>
        <xdr:cNvPr id="34" name="BExIT1MJLRQ2WG0ODXRLSBO35OXT" descr="SortDescendingT.gif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10525" y="52454175"/>
          <a:ext cx="50800" cy="50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1498600</xdr:colOff>
      <xdr:row>76</xdr:row>
      <xdr:rowOff>177800</xdr:rowOff>
    </xdr:to>
    <xdr:pic macro="[2]!DesignIconClicked">
      <xdr:nvPicPr>
        <xdr:cNvPr id="2" name="BExMBRISDUD3PO158VON7RRRINUR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32000" cy="1465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BexGetData"/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83"/>
  <sheetViews>
    <sheetView showGridLines="0" tabSelected="1" topLeftCell="A2" workbookViewId="0">
      <selection activeCell="L24" sqref="L24"/>
    </sheetView>
  </sheetViews>
  <sheetFormatPr baseColWidth="10" defaultRowHeight="12.75" x14ac:dyDescent="0.2"/>
  <cols>
    <col min="1" max="1" width="1.42578125" style="167" customWidth="1"/>
    <col min="2" max="2" width="4.140625" style="167" customWidth="1"/>
    <col min="3" max="3" width="70.7109375" style="167" customWidth="1"/>
    <col min="4" max="4" width="17.42578125" style="167" bestFit="1" customWidth="1"/>
    <col min="5" max="6" width="14.140625" style="167" bestFit="1" customWidth="1"/>
    <col min="7" max="16384" width="11.42578125" style="167"/>
  </cols>
  <sheetData>
    <row r="1" spans="1:21" ht="13.5" hidden="1" thickBot="1" x14ac:dyDescent="0.25">
      <c r="A1" s="217" t="s">
        <v>469</v>
      </c>
      <c r="B1" s="217" t="s">
        <v>468</v>
      </c>
      <c r="C1" s="217" t="s">
        <v>467</v>
      </c>
      <c r="H1" s="167" t="s">
        <v>464</v>
      </c>
      <c r="I1" s="167" t="s">
        <v>466</v>
      </c>
      <c r="J1" s="167" t="s">
        <v>465</v>
      </c>
      <c r="K1" s="167" t="s">
        <v>46</v>
      </c>
      <c r="L1" s="216">
        <v>42735</v>
      </c>
      <c r="M1" s="167">
        <v>31</v>
      </c>
      <c r="Q1" s="167" t="s">
        <v>464</v>
      </c>
      <c r="T1" s="167" t="s">
        <v>463</v>
      </c>
      <c r="U1" s="167">
        <v>0</v>
      </c>
    </row>
    <row r="2" spans="1:21" ht="18" x14ac:dyDescent="0.2">
      <c r="B2" s="218" t="s">
        <v>0</v>
      </c>
      <c r="C2" s="219"/>
      <c r="D2" s="219"/>
      <c r="E2" s="219"/>
      <c r="F2" s="220"/>
    </row>
    <row r="3" spans="1:21" ht="15.75" x14ac:dyDescent="0.2">
      <c r="B3" s="221" t="s">
        <v>462</v>
      </c>
      <c r="C3" s="222"/>
      <c r="D3" s="222"/>
      <c r="E3" s="222"/>
      <c r="F3" s="223"/>
    </row>
    <row r="4" spans="1:21" x14ac:dyDescent="0.2">
      <c r="B4" s="224" t="s">
        <v>461</v>
      </c>
      <c r="C4" s="225"/>
      <c r="D4" s="225"/>
      <c r="E4" s="225"/>
      <c r="F4" s="226"/>
    </row>
    <row r="5" spans="1:21" ht="13.5" thickBot="1" x14ac:dyDescent="0.25">
      <c r="B5" s="227" t="s">
        <v>349</v>
      </c>
      <c r="C5" s="228"/>
      <c r="D5" s="228"/>
      <c r="E5" s="228"/>
      <c r="F5" s="229"/>
    </row>
    <row r="6" spans="1:21" ht="13.5" thickBot="1" x14ac:dyDescent="0.25">
      <c r="B6" s="215"/>
      <c r="C6" s="215"/>
      <c r="D6" s="215"/>
      <c r="E6" s="215"/>
      <c r="F6" s="215"/>
    </row>
    <row r="7" spans="1:21" x14ac:dyDescent="0.2">
      <c r="B7" s="230" t="s">
        <v>460</v>
      </c>
      <c r="C7" s="231"/>
      <c r="D7" s="214" t="s">
        <v>441</v>
      </c>
      <c r="E7" s="234" t="s">
        <v>7</v>
      </c>
      <c r="F7" s="214" t="s">
        <v>430</v>
      </c>
    </row>
    <row r="8" spans="1:21" ht="13.5" thickBot="1" x14ac:dyDescent="0.25">
      <c r="B8" s="232"/>
      <c r="C8" s="233"/>
      <c r="D8" s="213" t="s">
        <v>459</v>
      </c>
      <c r="E8" s="235"/>
      <c r="F8" s="213" t="s">
        <v>458</v>
      </c>
    </row>
    <row r="9" spans="1:21" x14ac:dyDescent="0.2">
      <c r="B9" s="206"/>
      <c r="C9" s="205"/>
      <c r="D9" s="212"/>
      <c r="E9" s="212"/>
      <c r="F9" s="212"/>
    </row>
    <row r="10" spans="1:21" x14ac:dyDescent="0.2">
      <c r="B10" s="206"/>
      <c r="C10" s="202" t="s">
        <v>457</v>
      </c>
      <c r="D10" s="210">
        <f>SUM(D11:D13)</f>
        <v>55029207896</v>
      </c>
      <c r="E10" s="210">
        <f>SUM(E11:E13)</f>
        <v>42516431083</v>
      </c>
      <c r="F10" s="210">
        <f>SUM(F11:F13)</f>
        <v>42516431083</v>
      </c>
    </row>
    <row r="11" spans="1:21" x14ac:dyDescent="0.2">
      <c r="B11" s="206"/>
      <c r="C11" s="183" t="s">
        <v>456</v>
      </c>
      <c r="D11" s="211">
        <v>31863449021</v>
      </c>
      <c r="E11" s="211">
        <v>26549425708</v>
      </c>
      <c r="F11" s="211">
        <v>26549425708</v>
      </c>
    </row>
    <row r="12" spans="1:21" x14ac:dyDescent="0.2">
      <c r="B12" s="206"/>
      <c r="C12" s="183" t="s">
        <v>428</v>
      </c>
      <c r="D12" s="211">
        <v>20088430923</v>
      </c>
      <c r="E12" s="211">
        <v>17384882910</v>
      </c>
      <c r="F12" s="211">
        <v>17384882910</v>
      </c>
    </row>
    <row r="13" spans="1:21" x14ac:dyDescent="0.2">
      <c r="B13" s="206"/>
      <c r="C13" s="183" t="s">
        <v>455</v>
      </c>
      <c r="D13" s="211">
        <v>3077327952</v>
      </c>
      <c r="E13" s="211">
        <v>-1417877535</v>
      </c>
      <c r="F13" s="211">
        <v>-1417877535</v>
      </c>
    </row>
    <row r="14" spans="1:21" ht="4.5" customHeight="1" x14ac:dyDescent="0.2">
      <c r="B14" s="203"/>
      <c r="C14" s="202"/>
      <c r="D14" s="212"/>
      <c r="E14" s="212"/>
      <c r="F14" s="212"/>
    </row>
    <row r="15" spans="1:21" ht="13.5" x14ac:dyDescent="0.2">
      <c r="B15" s="203"/>
      <c r="C15" s="202" t="s">
        <v>454</v>
      </c>
      <c r="D15" s="210">
        <f>SUM(D16:D17)</f>
        <v>55029207896</v>
      </c>
      <c r="E15" s="210">
        <f>SUM(E16:E17)</f>
        <v>43982535351</v>
      </c>
      <c r="F15" s="210">
        <f>SUM(F16:F17)</f>
        <v>42344999385</v>
      </c>
    </row>
    <row r="16" spans="1:21" x14ac:dyDescent="0.2">
      <c r="B16" s="206"/>
      <c r="C16" s="183" t="s">
        <v>435</v>
      </c>
      <c r="D16" s="211">
        <v>35022767917</v>
      </c>
      <c r="E16" s="211">
        <v>26847797776</v>
      </c>
      <c r="F16" s="211">
        <v>25431795905</v>
      </c>
    </row>
    <row r="17" spans="2:6" x14ac:dyDescent="0.2">
      <c r="B17" s="206"/>
      <c r="C17" s="183" t="s">
        <v>453</v>
      </c>
      <c r="D17" s="211">
        <v>20006439979</v>
      </c>
      <c r="E17" s="211">
        <v>17134737575</v>
      </c>
      <c r="F17" s="211">
        <v>16913203480</v>
      </c>
    </row>
    <row r="18" spans="2:6" ht="3.75" customHeight="1" x14ac:dyDescent="0.2">
      <c r="B18" s="206"/>
      <c r="C18" s="205"/>
      <c r="D18" s="212"/>
      <c r="E18" s="212"/>
      <c r="F18" s="212"/>
    </row>
    <row r="19" spans="2:6" x14ac:dyDescent="0.2">
      <c r="B19" s="206"/>
      <c r="C19" s="202" t="s">
        <v>452</v>
      </c>
      <c r="D19" s="212">
        <f>SUM(D20:D21)</f>
        <v>0</v>
      </c>
      <c r="E19" s="212">
        <f>SUM(E20:E21)</f>
        <v>0</v>
      </c>
      <c r="F19" s="212">
        <f>SUM(F20:F21)</f>
        <v>0</v>
      </c>
    </row>
    <row r="20" spans="2:6" ht="17.25" customHeight="1" x14ac:dyDescent="0.2">
      <c r="B20" s="206"/>
      <c r="C20" s="183" t="s">
        <v>434</v>
      </c>
      <c r="D20" s="212"/>
      <c r="E20" s="212"/>
      <c r="F20" s="212"/>
    </row>
    <row r="21" spans="2:6" ht="26.25" customHeight="1" x14ac:dyDescent="0.2">
      <c r="B21" s="206"/>
      <c r="C21" s="183" t="s">
        <v>423</v>
      </c>
      <c r="D21" s="212"/>
      <c r="E21" s="212"/>
      <c r="F21" s="212"/>
    </row>
    <row r="22" spans="2:6" ht="4.5" customHeight="1" x14ac:dyDescent="0.2">
      <c r="B22" s="206"/>
      <c r="C22" s="205"/>
      <c r="D22" s="212"/>
      <c r="E22" s="212"/>
      <c r="F22" s="212"/>
    </row>
    <row r="23" spans="2:6" x14ac:dyDescent="0.2">
      <c r="B23" s="240"/>
      <c r="C23" s="202" t="s">
        <v>451</v>
      </c>
      <c r="D23" s="211">
        <f>+D10-D15+D19</f>
        <v>0</v>
      </c>
      <c r="E23" s="211">
        <f>+E10-E15+E19</f>
        <v>-1466104268</v>
      </c>
      <c r="F23" s="211">
        <f>+F10-F15+F19</f>
        <v>171431698</v>
      </c>
    </row>
    <row r="24" spans="2:6" x14ac:dyDescent="0.2">
      <c r="B24" s="240"/>
      <c r="C24" s="202" t="s">
        <v>450</v>
      </c>
      <c r="D24" s="211">
        <f>+D23-D13</f>
        <v>-3077327952</v>
      </c>
      <c r="E24" s="211">
        <f>+E23-E13</f>
        <v>-48226733</v>
      </c>
      <c r="F24" s="211">
        <f>+F23-F13</f>
        <v>1589309233</v>
      </c>
    </row>
    <row r="25" spans="2:6" ht="28.5" customHeight="1" x14ac:dyDescent="0.2">
      <c r="B25" s="206"/>
      <c r="C25" s="202" t="s">
        <v>449</v>
      </c>
      <c r="D25" s="210">
        <f>+D24-D19</f>
        <v>-3077327952</v>
      </c>
      <c r="E25" s="210">
        <f>+E24-E19</f>
        <v>-48226733</v>
      </c>
      <c r="F25" s="210">
        <f>+F24-F19</f>
        <v>1589309233</v>
      </c>
    </row>
    <row r="26" spans="2:6" ht="4.5" customHeight="1" thickBot="1" x14ac:dyDescent="0.25">
      <c r="B26" s="209"/>
      <c r="C26" s="199"/>
      <c r="D26" s="208"/>
      <c r="E26" s="208"/>
      <c r="F26" s="208"/>
    </row>
    <row r="27" spans="2:6" ht="13.5" thickBot="1" x14ac:dyDescent="0.25">
      <c r="B27" s="241"/>
      <c r="C27" s="241"/>
      <c r="D27" s="241"/>
      <c r="E27" s="241"/>
      <c r="F27" s="241"/>
    </row>
    <row r="28" spans="2:6" ht="13.5" thickBot="1" x14ac:dyDescent="0.25">
      <c r="B28" s="242" t="s">
        <v>351</v>
      </c>
      <c r="C28" s="243"/>
      <c r="D28" s="207" t="s">
        <v>440</v>
      </c>
      <c r="E28" s="207" t="s">
        <v>7</v>
      </c>
      <c r="F28" s="207" t="s">
        <v>429</v>
      </c>
    </row>
    <row r="29" spans="2:6" ht="5.25" customHeight="1" x14ac:dyDescent="0.2">
      <c r="B29" s="206"/>
      <c r="C29" s="205"/>
      <c r="D29" s="205"/>
      <c r="E29" s="205"/>
      <c r="F29" s="205"/>
    </row>
    <row r="30" spans="2:6" x14ac:dyDescent="0.2">
      <c r="B30" s="244"/>
      <c r="C30" s="202" t="s">
        <v>448</v>
      </c>
      <c r="D30" s="204">
        <f>SUM(D31:D32)</f>
        <v>1385357204</v>
      </c>
      <c r="E30" s="204">
        <f>SUM(E31:E32)</f>
        <v>1364172755</v>
      </c>
      <c r="F30" s="204">
        <f>SUM(F31:F32)</f>
        <v>1362620074</v>
      </c>
    </row>
    <row r="31" spans="2:6" x14ac:dyDescent="0.2">
      <c r="B31" s="244"/>
      <c r="C31" s="183" t="s">
        <v>447</v>
      </c>
      <c r="D31" s="204">
        <v>1311251797</v>
      </c>
      <c r="E31" s="204">
        <v>1356158114</v>
      </c>
      <c r="F31" s="204">
        <v>1354605433</v>
      </c>
    </row>
    <row r="32" spans="2:6" x14ac:dyDescent="0.2">
      <c r="B32" s="244"/>
      <c r="C32" s="183" t="s">
        <v>446</v>
      </c>
      <c r="D32" s="204">
        <v>74105407</v>
      </c>
      <c r="E32" s="204">
        <v>8014641</v>
      </c>
      <c r="F32" s="204">
        <v>8014641</v>
      </c>
    </row>
    <row r="33" spans="2:6" x14ac:dyDescent="0.2">
      <c r="B33" s="203"/>
      <c r="C33" s="202" t="s">
        <v>445</v>
      </c>
      <c r="D33" s="201">
        <f>+D25+D30</f>
        <v>-1691970748</v>
      </c>
      <c r="E33" s="201">
        <f>+E25+E30</f>
        <v>1315946022</v>
      </c>
      <c r="F33" s="201">
        <f>+F25+F30</f>
        <v>2951929307</v>
      </c>
    </row>
    <row r="34" spans="2:6" ht="4.5" customHeight="1" thickBot="1" x14ac:dyDescent="0.25">
      <c r="B34" s="200"/>
      <c r="C34" s="199"/>
      <c r="D34" s="199"/>
      <c r="E34" s="199"/>
      <c r="F34" s="199"/>
    </row>
    <row r="35" spans="2:6" ht="13.5" thickBot="1" x14ac:dyDescent="0.25">
      <c r="B35" s="168"/>
      <c r="C35" s="168"/>
      <c r="D35" s="168"/>
      <c r="E35" s="168"/>
      <c r="F35" s="168"/>
    </row>
    <row r="36" spans="2:6" x14ac:dyDescent="0.2">
      <c r="B36" s="230" t="s">
        <v>351</v>
      </c>
      <c r="C36" s="231"/>
      <c r="D36" s="245" t="s">
        <v>431</v>
      </c>
      <c r="E36" s="245" t="s">
        <v>7</v>
      </c>
      <c r="F36" s="196" t="s">
        <v>430</v>
      </c>
    </row>
    <row r="37" spans="2:6" ht="13.5" thickBot="1" x14ac:dyDescent="0.25">
      <c r="B37" s="232"/>
      <c r="C37" s="233"/>
      <c r="D37" s="246"/>
      <c r="E37" s="246"/>
      <c r="F37" s="195" t="s">
        <v>429</v>
      </c>
    </row>
    <row r="38" spans="2:6" ht="6.75" customHeight="1" x14ac:dyDescent="0.2">
      <c r="B38" s="177"/>
      <c r="C38" s="194"/>
      <c r="D38" s="194"/>
      <c r="E38" s="194"/>
      <c r="F38" s="194"/>
    </row>
    <row r="39" spans="2:6" x14ac:dyDescent="0.2">
      <c r="B39" s="198"/>
      <c r="C39" s="197" t="s">
        <v>444</v>
      </c>
      <c r="D39" s="186">
        <f>SUM(D40:D41)</f>
        <v>4500000000</v>
      </c>
      <c r="E39" s="186">
        <f>SUM(E40:E41)</f>
        <v>2584150842</v>
      </c>
      <c r="F39" s="186">
        <f>SUM(F40:F41)</f>
        <v>2584150842</v>
      </c>
    </row>
    <row r="40" spans="2:6" x14ac:dyDescent="0.2">
      <c r="B40" s="236"/>
      <c r="C40" s="180" t="s">
        <v>437</v>
      </c>
      <c r="D40" s="186">
        <v>4500000000</v>
      </c>
      <c r="E40" s="186">
        <v>2584150842</v>
      </c>
      <c r="F40" s="186">
        <v>2584150842</v>
      </c>
    </row>
    <row r="41" spans="2:6" ht="24" x14ac:dyDescent="0.2">
      <c r="B41" s="236"/>
      <c r="C41" s="183" t="s">
        <v>426</v>
      </c>
      <c r="D41" s="173"/>
      <c r="E41" s="173"/>
      <c r="F41" s="173"/>
    </row>
    <row r="42" spans="2:6" x14ac:dyDescent="0.2">
      <c r="B42" s="237"/>
      <c r="C42" s="197" t="s">
        <v>443</v>
      </c>
      <c r="D42" s="173">
        <f>SUM(D43:D44)</f>
        <v>1422672048</v>
      </c>
      <c r="E42" s="173">
        <f>SUM(E43:E44)</f>
        <v>4002028376</v>
      </c>
      <c r="F42" s="173">
        <f>SUM(F43:F44)</f>
        <v>4002028376</v>
      </c>
    </row>
    <row r="43" spans="2:6" x14ac:dyDescent="0.2">
      <c r="B43" s="237"/>
      <c r="C43" s="180" t="s">
        <v>436</v>
      </c>
      <c r="D43" s="186">
        <v>1342646952</v>
      </c>
      <c r="E43" s="186">
        <v>3670947308</v>
      </c>
      <c r="F43" s="186">
        <v>3670947308</v>
      </c>
    </row>
    <row r="44" spans="2:6" x14ac:dyDescent="0.2">
      <c r="B44" s="237"/>
      <c r="C44" s="180" t="s">
        <v>425</v>
      </c>
      <c r="D44" s="186">
        <v>80025096</v>
      </c>
      <c r="E44" s="186">
        <v>331081068</v>
      </c>
      <c r="F44" s="186">
        <v>331081068</v>
      </c>
    </row>
    <row r="45" spans="2:6" x14ac:dyDescent="0.2">
      <c r="B45" s="237"/>
      <c r="C45" s="247" t="s">
        <v>442</v>
      </c>
      <c r="D45" s="248">
        <f>+D39-D42</f>
        <v>3077327952</v>
      </c>
      <c r="E45" s="248">
        <f>+E39-E42</f>
        <v>-1417877534</v>
      </c>
      <c r="F45" s="248">
        <f>+F39-F42</f>
        <v>-1417877534</v>
      </c>
    </row>
    <row r="46" spans="2:6" ht="13.5" thickBot="1" x14ac:dyDescent="0.25">
      <c r="B46" s="232"/>
      <c r="C46" s="233"/>
      <c r="D46" s="249"/>
      <c r="E46" s="249"/>
      <c r="F46" s="249"/>
    </row>
    <row r="47" spans="2:6" ht="13.5" thickBot="1" x14ac:dyDescent="0.25">
      <c r="B47" s="168"/>
      <c r="C47" s="168"/>
      <c r="D47" s="168"/>
      <c r="E47" s="168"/>
      <c r="F47" s="168"/>
    </row>
    <row r="48" spans="2:6" x14ac:dyDescent="0.2">
      <c r="B48" s="230" t="s">
        <v>351</v>
      </c>
      <c r="C48" s="231"/>
      <c r="D48" s="196" t="s">
        <v>441</v>
      </c>
      <c r="E48" s="245" t="s">
        <v>7</v>
      </c>
      <c r="F48" s="196" t="s">
        <v>430</v>
      </c>
    </row>
    <row r="49" spans="2:7" ht="13.5" thickBot="1" x14ac:dyDescent="0.25">
      <c r="B49" s="232"/>
      <c r="C49" s="233"/>
      <c r="D49" s="195" t="s">
        <v>440</v>
      </c>
      <c r="E49" s="246"/>
      <c r="F49" s="195" t="s">
        <v>429</v>
      </c>
    </row>
    <row r="50" spans="2:7" ht="4.5" customHeight="1" x14ac:dyDescent="0.2">
      <c r="B50" s="250"/>
      <c r="C50" s="251"/>
      <c r="D50" s="194"/>
      <c r="E50" s="194"/>
      <c r="F50" s="194"/>
    </row>
    <row r="51" spans="2:7" ht="15.75" customHeight="1" x14ac:dyDescent="0.2">
      <c r="B51" s="236"/>
      <c r="C51" s="252" t="s">
        <v>439</v>
      </c>
      <c r="D51" s="173">
        <v>31863449021</v>
      </c>
      <c r="E51" s="173">
        <v>26549425708</v>
      </c>
      <c r="F51" s="173">
        <v>26549425708</v>
      </c>
      <c r="G51" s="185"/>
    </row>
    <row r="52" spans="2:7" ht="6.75" customHeight="1" x14ac:dyDescent="0.2">
      <c r="B52" s="236"/>
      <c r="C52" s="252"/>
      <c r="D52" s="173"/>
      <c r="E52" s="173"/>
      <c r="F52" s="173"/>
      <c r="G52" s="185"/>
    </row>
    <row r="53" spans="2:7" ht="29.25" customHeight="1" x14ac:dyDescent="0.2">
      <c r="B53" s="236"/>
      <c r="C53" s="193" t="s">
        <v>438</v>
      </c>
      <c r="D53" s="173">
        <f>+D54-D55</f>
        <v>3157353048</v>
      </c>
      <c r="E53" s="173">
        <f>+E54-E55</f>
        <v>-1086796466</v>
      </c>
      <c r="F53" s="173">
        <f>+F54-F55</f>
        <v>-1086796466</v>
      </c>
    </row>
    <row r="54" spans="2:7" x14ac:dyDescent="0.2">
      <c r="B54" s="236"/>
      <c r="C54" s="180" t="s">
        <v>437</v>
      </c>
      <c r="D54" s="173">
        <v>4500000000</v>
      </c>
      <c r="E54" s="173">
        <v>2584150842</v>
      </c>
      <c r="F54" s="173">
        <v>2584150842</v>
      </c>
    </row>
    <row r="55" spans="2:7" x14ac:dyDescent="0.2">
      <c r="B55" s="236"/>
      <c r="C55" s="180" t="s">
        <v>436</v>
      </c>
      <c r="D55" s="173">
        <v>1342646952</v>
      </c>
      <c r="E55" s="173">
        <v>3670947308</v>
      </c>
      <c r="F55" s="173">
        <v>3670947308</v>
      </c>
    </row>
    <row r="56" spans="2:7" x14ac:dyDescent="0.2">
      <c r="B56" s="177"/>
      <c r="C56" s="176" t="s">
        <v>435</v>
      </c>
      <c r="D56" s="178">
        <v>35022767917</v>
      </c>
      <c r="E56" s="178">
        <v>26847797776</v>
      </c>
      <c r="F56" s="178">
        <v>25431795905</v>
      </c>
    </row>
    <row r="57" spans="2:7" x14ac:dyDescent="0.2">
      <c r="B57" s="177"/>
      <c r="C57" s="176" t="s">
        <v>434</v>
      </c>
      <c r="D57" s="192">
        <v>0</v>
      </c>
      <c r="E57" s="192">
        <v>0</v>
      </c>
      <c r="F57" s="192">
        <v>0</v>
      </c>
    </row>
    <row r="58" spans="2:7" x14ac:dyDescent="0.2">
      <c r="B58" s="237"/>
      <c r="C58" s="175" t="s">
        <v>433</v>
      </c>
      <c r="D58" s="191">
        <f>+D51+D53-D56+D57</f>
        <v>-1965848</v>
      </c>
      <c r="E58" s="191">
        <f>+E51+E53-E56+E57</f>
        <v>-1385168534</v>
      </c>
      <c r="F58" s="191">
        <f>+F51+F53-F56+F57</f>
        <v>30833337</v>
      </c>
    </row>
    <row r="59" spans="2:7" x14ac:dyDescent="0.2">
      <c r="B59" s="237"/>
      <c r="C59" s="175" t="s">
        <v>432</v>
      </c>
      <c r="D59" s="191">
        <f>+D58-D53</f>
        <v>-3159318896</v>
      </c>
      <c r="E59" s="191">
        <f>+E58-E53</f>
        <v>-298372068</v>
      </c>
      <c r="F59" s="191">
        <f>+F58-F53</f>
        <v>1117629803</v>
      </c>
    </row>
    <row r="60" spans="2:7" ht="13.5" thickBot="1" x14ac:dyDescent="0.25">
      <c r="B60" s="232"/>
      <c r="C60" s="172"/>
      <c r="D60" s="190"/>
      <c r="E60" s="190"/>
      <c r="F60" s="190"/>
    </row>
    <row r="61" spans="2:7" ht="13.5" thickBot="1" x14ac:dyDescent="0.25">
      <c r="B61" s="168"/>
      <c r="C61" s="168"/>
      <c r="D61" s="189"/>
      <c r="E61" s="189"/>
      <c r="F61" s="189"/>
    </row>
    <row r="62" spans="2:7" x14ac:dyDescent="0.2">
      <c r="B62" s="230" t="s">
        <v>351</v>
      </c>
      <c r="C62" s="231"/>
      <c r="D62" s="238" t="s">
        <v>431</v>
      </c>
      <c r="E62" s="238" t="s">
        <v>7</v>
      </c>
      <c r="F62" s="188" t="s">
        <v>430</v>
      </c>
    </row>
    <row r="63" spans="2:7" ht="13.5" thickBot="1" x14ac:dyDescent="0.25">
      <c r="B63" s="232"/>
      <c r="C63" s="233"/>
      <c r="D63" s="239"/>
      <c r="E63" s="239"/>
      <c r="F63" s="187" t="s">
        <v>429</v>
      </c>
    </row>
    <row r="64" spans="2:7" ht="4.5" customHeight="1" x14ac:dyDescent="0.2">
      <c r="B64" s="250"/>
      <c r="C64" s="251"/>
      <c r="D64" s="186"/>
      <c r="E64" s="186"/>
      <c r="F64" s="186"/>
    </row>
    <row r="65" spans="1:7" ht="10.5" customHeight="1" x14ac:dyDescent="0.2">
      <c r="B65" s="236"/>
      <c r="C65" s="252" t="s">
        <v>428</v>
      </c>
      <c r="D65" s="254">
        <v>20088430923</v>
      </c>
      <c r="E65" s="254">
        <v>17384882910</v>
      </c>
      <c r="F65" s="254">
        <v>17384882910</v>
      </c>
      <c r="G65" s="185"/>
    </row>
    <row r="66" spans="1:7" ht="9" customHeight="1" x14ac:dyDescent="0.2">
      <c r="B66" s="236"/>
      <c r="C66" s="252"/>
      <c r="D66" s="254"/>
      <c r="E66" s="254"/>
      <c r="F66" s="254"/>
      <c r="G66" s="185"/>
    </row>
    <row r="67" spans="1:7" ht="24" x14ac:dyDescent="0.2">
      <c r="B67" s="236"/>
      <c r="C67" s="184" t="s">
        <v>427</v>
      </c>
      <c r="D67" s="173">
        <f>+D68-D69</f>
        <v>-80025096</v>
      </c>
      <c r="E67" s="173">
        <f>+E68-E69</f>
        <v>-331081068</v>
      </c>
      <c r="F67" s="173">
        <f>+F68-F69</f>
        <v>-331081068</v>
      </c>
    </row>
    <row r="68" spans="1:7" ht="24" x14ac:dyDescent="0.2">
      <c r="B68" s="236"/>
      <c r="C68" s="183" t="s">
        <v>426</v>
      </c>
      <c r="D68" s="182">
        <v>0</v>
      </c>
      <c r="E68" s="181">
        <v>0</v>
      </c>
      <c r="F68" s="181">
        <v>0</v>
      </c>
    </row>
    <row r="69" spans="1:7" x14ac:dyDescent="0.2">
      <c r="B69" s="236"/>
      <c r="C69" s="180" t="s">
        <v>425</v>
      </c>
      <c r="D69" s="179">
        <v>80025096</v>
      </c>
      <c r="E69" s="178">
        <v>331081068</v>
      </c>
      <c r="F69" s="178">
        <v>331081068</v>
      </c>
    </row>
    <row r="70" spans="1:7" x14ac:dyDescent="0.2">
      <c r="B70" s="177"/>
      <c r="C70" s="176" t="s">
        <v>424</v>
      </c>
      <c r="D70" s="179">
        <v>20006439979</v>
      </c>
      <c r="E70" s="178">
        <v>17134737575</v>
      </c>
      <c r="F70" s="178">
        <v>16913203480</v>
      </c>
    </row>
    <row r="71" spans="1:7" x14ac:dyDescent="0.2">
      <c r="B71" s="177"/>
      <c r="C71" s="176"/>
      <c r="D71" s="173"/>
      <c r="E71" s="173"/>
      <c r="F71" s="173"/>
    </row>
    <row r="72" spans="1:7" x14ac:dyDescent="0.2">
      <c r="B72" s="177"/>
      <c r="C72" s="176" t="s">
        <v>423</v>
      </c>
      <c r="D72" s="173">
        <v>0</v>
      </c>
      <c r="E72" s="173">
        <v>0</v>
      </c>
      <c r="F72" s="173">
        <v>0</v>
      </c>
    </row>
    <row r="73" spans="1:7" x14ac:dyDescent="0.2">
      <c r="B73" s="237"/>
      <c r="C73" s="175" t="s">
        <v>422</v>
      </c>
      <c r="D73" s="173">
        <f>+D65+D67-D70+D72</f>
        <v>1965848</v>
      </c>
      <c r="E73" s="173">
        <f>+E65+E67-E70+E72</f>
        <v>-80935733</v>
      </c>
      <c r="F73" s="173">
        <f>+F65+F67-F70+F72</f>
        <v>140598362</v>
      </c>
    </row>
    <row r="74" spans="1:7" ht="24" x14ac:dyDescent="0.2">
      <c r="B74" s="237"/>
      <c r="C74" s="174" t="s">
        <v>421</v>
      </c>
      <c r="D74" s="173">
        <f>+D73-D67</f>
        <v>81990944</v>
      </c>
      <c r="E74" s="173">
        <f>+E73-E67</f>
        <v>250145335</v>
      </c>
      <c r="F74" s="173">
        <f>+F73-F67</f>
        <v>471679430</v>
      </c>
    </row>
    <row r="75" spans="1:7" ht="3" customHeight="1" thickBot="1" x14ac:dyDescent="0.25">
      <c r="B75" s="232"/>
      <c r="C75" s="172"/>
      <c r="D75" s="171"/>
      <c r="E75" s="171"/>
      <c r="F75" s="171"/>
    </row>
    <row r="76" spans="1:7" x14ac:dyDescent="0.2">
      <c r="B76" s="168"/>
      <c r="C76" s="168"/>
      <c r="D76" s="168"/>
      <c r="E76" s="168"/>
      <c r="F76" s="168"/>
    </row>
    <row r="77" spans="1:7" x14ac:dyDescent="0.2">
      <c r="B77" s="168"/>
      <c r="C77" s="168"/>
      <c r="D77" s="168"/>
      <c r="E77" s="168"/>
      <c r="F77" s="168"/>
    </row>
    <row r="78" spans="1:7" s="169" customFormat="1" x14ac:dyDescent="0.2">
      <c r="C78" s="170"/>
      <c r="F78" s="170"/>
    </row>
    <row r="79" spans="1:7" s="169" customFormat="1" x14ac:dyDescent="0.2">
      <c r="A79" s="253" t="s">
        <v>420</v>
      </c>
      <c r="B79" s="253"/>
      <c r="C79" s="253"/>
      <c r="D79" s="253"/>
      <c r="E79" s="253"/>
      <c r="F79" s="253"/>
    </row>
    <row r="80" spans="1:7" s="169" customFormat="1" x14ac:dyDescent="0.2">
      <c r="A80" s="253" t="s">
        <v>419</v>
      </c>
      <c r="B80" s="253"/>
      <c r="C80" s="253"/>
      <c r="D80" s="253"/>
      <c r="E80" s="253"/>
      <c r="F80" s="253"/>
    </row>
    <row r="81" spans="2:6" x14ac:dyDescent="0.2">
      <c r="B81" s="168"/>
      <c r="C81" s="168"/>
      <c r="D81" s="168"/>
      <c r="E81" s="168"/>
      <c r="F81" s="168"/>
    </row>
    <row r="82" spans="2:6" x14ac:dyDescent="0.2">
      <c r="B82" s="168"/>
      <c r="C82" s="168"/>
      <c r="D82" s="168"/>
      <c r="E82" s="168"/>
      <c r="F82" s="168"/>
    </row>
    <row r="83" spans="2:6" x14ac:dyDescent="0.2">
      <c r="B83" s="168"/>
      <c r="C83" s="168"/>
      <c r="D83" s="168"/>
      <c r="E83" s="168"/>
      <c r="F83" s="168"/>
    </row>
    <row r="84" spans="2:6" x14ac:dyDescent="0.2">
      <c r="B84" s="168"/>
      <c r="C84" s="168"/>
      <c r="D84" s="168"/>
      <c r="E84" s="168"/>
      <c r="F84" s="168"/>
    </row>
    <row r="85" spans="2:6" x14ac:dyDescent="0.2">
      <c r="B85" s="168"/>
      <c r="C85" s="168"/>
      <c r="D85" s="168"/>
      <c r="E85" s="168"/>
      <c r="F85" s="168"/>
    </row>
    <row r="86" spans="2:6" x14ac:dyDescent="0.2">
      <c r="B86" s="168"/>
      <c r="C86" s="168"/>
      <c r="D86" s="168"/>
      <c r="E86" s="168"/>
      <c r="F86" s="168"/>
    </row>
    <row r="87" spans="2:6" x14ac:dyDescent="0.2">
      <c r="B87" s="168"/>
      <c r="C87" s="168"/>
      <c r="D87" s="168"/>
      <c r="E87" s="168"/>
      <c r="F87" s="168"/>
    </row>
    <row r="88" spans="2:6" x14ac:dyDescent="0.2">
      <c r="B88" s="168"/>
      <c r="C88" s="168"/>
      <c r="D88" s="168"/>
      <c r="E88" s="168"/>
      <c r="F88" s="168"/>
    </row>
    <row r="89" spans="2:6" x14ac:dyDescent="0.2">
      <c r="B89" s="168"/>
      <c r="C89" s="168"/>
      <c r="D89" s="168"/>
      <c r="E89" s="168"/>
      <c r="F89" s="168"/>
    </row>
    <row r="90" spans="2:6" x14ac:dyDescent="0.2">
      <c r="B90" s="168"/>
      <c r="C90" s="168"/>
      <c r="D90" s="168"/>
      <c r="E90" s="168"/>
      <c r="F90" s="168"/>
    </row>
    <row r="91" spans="2:6" x14ac:dyDescent="0.2">
      <c r="B91" s="168"/>
      <c r="C91" s="168"/>
      <c r="D91" s="168"/>
      <c r="E91" s="168"/>
      <c r="F91" s="168"/>
    </row>
    <row r="92" spans="2:6" x14ac:dyDescent="0.2">
      <c r="B92" s="168"/>
      <c r="C92" s="168"/>
      <c r="D92" s="168"/>
      <c r="E92" s="168"/>
      <c r="F92" s="168"/>
    </row>
    <row r="93" spans="2:6" x14ac:dyDescent="0.2">
      <c r="B93" s="168"/>
      <c r="C93" s="168"/>
      <c r="D93" s="168"/>
      <c r="E93" s="168"/>
      <c r="F93" s="168"/>
    </row>
    <row r="94" spans="2:6" x14ac:dyDescent="0.2">
      <c r="B94" s="168"/>
      <c r="C94" s="168"/>
      <c r="D94" s="168"/>
      <c r="E94" s="168"/>
      <c r="F94" s="168"/>
    </row>
    <row r="95" spans="2:6" x14ac:dyDescent="0.2">
      <c r="B95" s="168"/>
      <c r="C95" s="168"/>
      <c r="D95" s="168"/>
      <c r="E95" s="168"/>
      <c r="F95" s="168"/>
    </row>
    <row r="96" spans="2:6" x14ac:dyDescent="0.2">
      <c r="B96" s="168"/>
      <c r="C96" s="168"/>
      <c r="D96" s="168"/>
      <c r="E96" s="168"/>
      <c r="F96" s="168"/>
    </row>
    <row r="97" spans="2:6" x14ac:dyDescent="0.2">
      <c r="B97" s="168"/>
      <c r="C97" s="168"/>
      <c r="D97" s="168"/>
      <c r="E97" s="168"/>
      <c r="F97" s="168"/>
    </row>
    <row r="98" spans="2:6" x14ac:dyDescent="0.2">
      <c r="B98" s="168"/>
      <c r="C98" s="168"/>
      <c r="D98" s="168"/>
      <c r="E98" s="168"/>
      <c r="F98" s="168"/>
    </row>
    <row r="99" spans="2:6" x14ac:dyDescent="0.2">
      <c r="B99" s="168"/>
      <c r="C99" s="168"/>
      <c r="D99" s="168"/>
      <c r="E99" s="168"/>
      <c r="F99" s="168"/>
    </row>
    <row r="100" spans="2:6" x14ac:dyDescent="0.2">
      <c r="B100" s="168"/>
      <c r="C100" s="168"/>
      <c r="D100" s="168"/>
      <c r="E100" s="168"/>
      <c r="F100" s="168"/>
    </row>
    <row r="101" spans="2:6" x14ac:dyDescent="0.2">
      <c r="B101" s="168"/>
      <c r="C101" s="168"/>
      <c r="D101" s="168"/>
      <c r="E101" s="168"/>
      <c r="F101" s="168"/>
    </row>
    <row r="102" spans="2:6" x14ac:dyDescent="0.2">
      <c r="B102" s="168"/>
      <c r="C102" s="168"/>
      <c r="D102" s="168"/>
      <c r="E102" s="168"/>
      <c r="F102" s="168"/>
    </row>
    <row r="103" spans="2:6" x14ac:dyDescent="0.2">
      <c r="B103" s="168"/>
      <c r="C103" s="168"/>
      <c r="D103" s="168"/>
      <c r="E103" s="168"/>
      <c r="F103" s="168"/>
    </row>
    <row r="104" spans="2:6" x14ac:dyDescent="0.2">
      <c r="B104" s="168"/>
      <c r="C104" s="168"/>
      <c r="D104" s="168"/>
      <c r="E104" s="168"/>
      <c r="F104" s="168"/>
    </row>
    <row r="105" spans="2:6" x14ac:dyDescent="0.2">
      <c r="B105" s="168"/>
      <c r="C105" s="168"/>
      <c r="D105" s="168"/>
      <c r="E105" s="168"/>
      <c r="F105" s="168"/>
    </row>
    <row r="106" spans="2:6" x14ac:dyDescent="0.2">
      <c r="B106" s="168"/>
      <c r="C106" s="168"/>
      <c r="D106" s="168"/>
      <c r="E106" s="168"/>
      <c r="F106" s="168"/>
    </row>
    <row r="107" spans="2:6" x14ac:dyDescent="0.2">
      <c r="B107" s="168"/>
      <c r="C107" s="168"/>
      <c r="D107" s="168"/>
      <c r="E107" s="168"/>
      <c r="F107" s="168"/>
    </row>
    <row r="108" spans="2:6" x14ac:dyDescent="0.2">
      <c r="B108" s="168"/>
      <c r="C108" s="168"/>
      <c r="D108" s="168"/>
      <c r="E108" s="168"/>
      <c r="F108" s="168"/>
    </row>
    <row r="109" spans="2:6" x14ac:dyDescent="0.2">
      <c r="B109" s="168"/>
      <c r="C109" s="168"/>
      <c r="D109" s="168"/>
      <c r="E109" s="168"/>
      <c r="F109" s="168"/>
    </row>
    <row r="110" spans="2:6" x14ac:dyDescent="0.2">
      <c r="B110" s="168"/>
      <c r="C110" s="168"/>
      <c r="D110" s="168"/>
      <c r="E110" s="168"/>
      <c r="F110" s="168"/>
    </row>
    <row r="111" spans="2:6" x14ac:dyDescent="0.2">
      <c r="B111" s="168"/>
      <c r="C111" s="168"/>
      <c r="D111" s="168"/>
      <c r="E111" s="168"/>
      <c r="F111" s="168"/>
    </row>
    <row r="112" spans="2:6" x14ac:dyDescent="0.2">
      <c r="B112" s="168"/>
      <c r="C112" s="168"/>
      <c r="D112" s="168"/>
      <c r="E112" s="168"/>
      <c r="F112" s="168"/>
    </row>
    <row r="113" spans="2:6" x14ac:dyDescent="0.2">
      <c r="B113" s="168"/>
      <c r="C113" s="168"/>
      <c r="D113" s="168"/>
      <c r="E113" s="168"/>
      <c r="F113" s="168"/>
    </row>
    <row r="114" spans="2:6" x14ac:dyDescent="0.2">
      <c r="B114" s="168"/>
      <c r="C114" s="168"/>
      <c r="D114" s="168"/>
      <c r="E114" s="168"/>
      <c r="F114" s="168"/>
    </row>
    <row r="115" spans="2:6" x14ac:dyDescent="0.2">
      <c r="B115" s="168"/>
      <c r="C115" s="168"/>
      <c r="D115" s="168"/>
      <c r="E115" s="168"/>
      <c r="F115" s="168"/>
    </row>
    <row r="116" spans="2:6" x14ac:dyDescent="0.2">
      <c r="B116" s="168"/>
      <c r="C116" s="168"/>
      <c r="D116" s="168"/>
      <c r="E116" s="168"/>
      <c r="F116" s="168"/>
    </row>
    <row r="117" spans="2:6" x14ac:dyDescent="0.2">
      <c r="B117" s="168"/>
      <c r="C117" s="168"/>
      <c r="D117" s="168"/>
      <c r="E117" s="168"/>
      <c r="F117" s="168"/>
    </row>
    <row r="118" spans="2:6" x14ac:dyDescent="0.2">
      <c r="B118" s="168"/>
      <c r="C118" s="168"/>
      <c r="D118" s="168"/>
      <c r="E118" s="168"/>
      <c r="F118" s="168"/>
    </row>
    <row r="119" spans="2:6" x14ac:dyDescent="0.2">
      <c r="B119" s="168"/>
      <c r="C119" s="168"/>
      <c r="D119" s="168"/>
      <c r="E119" s="168"/>
      <c r="F119" s="168"/>
    </row>
    <row r="120" spans="2:6" x14ac:dyDescent="0.2">
      <c r="B120" s="168"/>
      <c r="C120" s="168"/>
      <c r="D120" s="168"/>
      <c r="E120" s="168"/>
      <c r="F120" s="168"/>
    </row>
    <row r="121" spans="2:6" x14ac:dyDescent="0.2">
      <c r="B121" s="168"/>
      <c r="C121" s="168"/>
      <c r="D121" s="168"/>
      <c r="E121" s="168"/>
      <c r="F121" s="168"/>
    </row>
    <row r="122" spans="2:6" x14ac:dyDescent="0.2">
      <c r="B122" s="168"/>
      <c r="C122" s="168"/>
      <c r="D122" s="168"/>
      <c r="E122" s="168"/>
      <c r="F122" s="168"/>
    </row>
    <row r="123" spans="2:6" x14ac:dyDescent="0.2">
      <c r="B123" s="168"/>
      <c r="C123" s="168"/>
      <c r="D123" s="168"/>
      <c r="E123" s="168"/>
      <c r="F123" s="168"/>
    </row>
    <row r="124" spans="2:6" x14ac:dyDescent="0.2">
      <c r="B124" s="168"/>
      <c r="C124" s="168"/>
      <c r="D124" s="168"/>
      <c r="E124" s="168"/>
      <c r="F124" s="168"/>
    </row>
    <row r="125" spans="2:6" x14ac:dyDescent="0.2">
      <c r="B125" s="168"/>
      <c r="C125" s="168"/>
      <c r="D125" s="168"/>
      <c r="E125" s="168"/>
      <c r="F125" s="168"/>
    </row>
    <row r="126" spans="2:6" x14ac:dyDescent="0.2">
      <c r="B126" s="168"/>
      <c r="C126" s="168"/>
      <c r="D126" s="168"/>
      <c r="E126" s="168"/>
      <c r="F126" s="168"/>
    </row>
    <row r="127" spans="2:6" x14ac:dyDescent="0.2">
      <c r="B127" s="168"/>
      <c r="C127" s="168"/>
      <c r="D127" s="168"/>
      <c r="E127" s="168"/>
      <c r="F127" s="168"/>
    </row>
    <row r="128" spans="2:6" x14ac:dyDescent="0.2">
      <c r="B128" s="168"/>
      <c r="C128" s="168"/>
      <c r="D128" s="168"/>
      <c r="E128" s="168"/>
      <c r="F128" s="168"/>
    </row>
    <row r="129" spans="2:6" x14ac:dyDescent="0.2">
      <c r="B129" s="168"/>
      <c r="C129" s="168"/>
      <c r="D129" s="168"/>
      <c r="E129" s="168"/>
      <c r="F129" s="168"/>
    </row>
    <row r="130" spans="2:6" x14ac:dyDescent="0.2">
      <c r="B130" s="168"/>
      <c r="C130" s="168"/>
      <c r="D130" s="168"/>
      <c r="E130" s="168"/>
      <c r="F130" s="168"/>
    </row>
    <row r="131" spans="2:6" x14ac:dyDescent="0.2">
      <c r="B131" s="168"/>
      <c r="C131" s="168"/>
      <c r="D131" s="168"/>
      <c r="E131" s="168"/>
      <c r="F131" s="168"/>
    </row>
    <row r="132" spans="2:6" x14ac:dyDescent="0.2">
      <c r="B132" s="168"/>
      <c r="C132" s="168"/>
      <c r="D132" s="168"/>
      <c r="E132" s="168"/>
      <c r="F132" s="168"/>
    </row>
    <row r="133" spans="2:6" x14ac:dyDescent="0.2">
      <c r="B133" s="168"/>
      <c r="C133" s="168"/>
      <c r="D133" s="168"/>
      <c r="E133" s="168"/>
      <c r="F133" s="168"/>
    </row>
    <row r="134" spans="2:6" x14ac:dyDescent="0.2">
      <c r="B134" s="168"/>
      <c r="C134" s="168"/>
      <c r="D134" s="168"/>
      <c r="E134" s="168"/>
      <c r="F134" s="168"/>
    </row>
    <row r="135" spans="2:6" x14ac:dyDescent="0.2">
      <c r="B135" s="168"/>
      <c r="C135" s="168"/>
      <c r="D135" s="168"/>
      <c r="E135" s="168"/>
      <c r="F135" s="168"/>
    </row>
    <row r="136" spans="2:6" x14ac:dyDescent="0.2">
      <c r="B136" s="168"/>
      <c r="C136" s="168"/>
      <c r="D136" s="168"/>
      <c r="E136" s="168"/>
      <c r="F136" s="168"/>
    </row>
    <row r="137" spans="2:6" x14ac:dyDescent="0.2">
      <c r="B137" s="168"/>
      <c r="C137" s="168"/>
      <c r="D137" s="168"/>
      <c r="E137" s="168"/>
      <c r="F137" s="168"/>
    </row>
    <row r="138" spans="2:6" x14ac:dyDescent="0.2">
      <c r="B138" s="168"/>
      <c r="C138" s="168"/>
      <c r="D138" s="168"/>
      <c r="E138" s="168"/>
      <c r="F138" s="168"/>
    </row>
    <row r="139" spans="2:6" x14ac:dyDescent="0.2">
      <c r="B139" s="168"/>
      <c r="C139" s="168"/>
      <c r="D139" s="168"/>
      <c r="E139" s="168"/>
      <c r="F139" s="168"/>
    </row>
    <row r="140" spans="2:6" x14ac:dyDescent="0.2">
      <c r="B140" s="168"/>
      <c r="C140" s="168"/>
      <c r="D140" s="168"/>
      <c r="E140" s="168"/>
      <c r="F140" s="168"/>
    </row>
    <row r="141" spans="2:6" x14ac:dyDescent="0.2">
      <c r="B141" s="168"/>
      <c r="C141" s="168"/>
      <c r="D141" s="168"/>
      <c r="E141" s="168"/>
      <c r="F141" s="168"/>
    </row>
    <row r="142" spans="2:6" x14ac:dyDescent="0.2">
      <c r="B142" s="168"/>
      <c r="C142" s="168"/>
      <c r="D142" s="168"/>
      <c r="E142" s="168"/>
      <c r="F142" s="168"/>
    </row>
    <row r="143" spans="2:6" x14ac:dyDescent="0.2">
      <c r="B143" s="168"/>
      <c r="C143" s="168"/>
      <c r="D143" s="168"/>
      <c r="E143" s="168"/>
      <c r="F143" s="168"/>
    </row>
    <row r="144" spans="2:6" x14ac:dyDescent="0.2">
      <c r="B144" s="168"/>
      <c r="C144" s="168"/>
      <c r="D144" s="168"/>
      <c r="E144" s="168"/>
      <c r="F144" s="168"/>
    </row>
    <row r="145" spans="2:6" x14ac:dyDescent="0.2">
      <c r="B145" s="168"/>
      <c r="C145" s="168"/>
      <c r="D145" s="168"/>
      <c r="E145" s="168"/>
      <c r="F145" s="168"/>
    </row>
    <row r="146" spans="2:6" x14ac:dyDescent="0.2">
      <c r="B146" s="168"/>
      <c r="C146" s="168"/>
      <c r="D146" s="168"/>
      <c r="E146" s="168"/>
      <c r="F146" s="168"/>
    </row>
    <row r="147" spans="2:6" x14ac:dyDescent="0.2">
      <c r="B147" s="168"/>
      <c r="C147" s="168"/>
      <c r="D147" s="168"/>
      <c r="E147" s="168"/>
      <c r="F147" s="168"/>
    </row>
    <row r="148" spans="2:6" x14ac:dyDescent="0.2">
      <c r="B148" s="168"/>
      <c r="C148" s="168"/>
      <c r="D148" s="168"/>
      <c r="E148" s="168"/>
      <c r="F148" s="168"/>
    </row>
    <row r="149" spans="2:6" x14ac:dyDescent="0.2">
      <c r="B149" s="168"/>
      <c r="C149" s="168"/>
      <c r="D149" s="168"/>
      <c r="E149" s="168"/>
      <c r="F149" s="168"/>
    </row>
    <row r="150" spans="2:6" x14ac:dyDescent="0.2">
      <c r="B150" s="168"/>
      <c r="C150" s="168"/>
      <c r="D150" s="168"/>
      <c r="E150" s="168"/>
      <c r="F150" s="168"/>
    </row>
    <row r="151" spans="2:6" x14ac:dyDescent="0.2">
      <c r="B151" s="168"/>
      <c r="C151" s="168"/>
      <c r="D151" s="168"/>
      <c r="E151" s="168"/>
      <c r="F151" s="168"/>
    </row>
    <row r="152" spans="2:6" x14ac:dyDescent="0.2">
      <c r="B152" s="168"/>
      <c r="C152" s="168"/>
      <c r="D152" s="168"/>
      <c r="E152" s="168"/>
      <c r="F152" s="168"/>
    </row>
    <row r="153" spans="2:6" x14ac:dyDescent="0.2">
      <c r="B153" s="168"/>
      <c r="C153" s="168"/>
      <c r="D153" s="168"/>
      <c r="E153" s="168"/>
      <c r="F153" s="168"/>
    </row>
    <row r="154" spans="2:6" x14ac:dyDescent="0.2">
      <c r="B154" s="168"/>
      <c r="C154" s="168"/>
      <c r="D154" s="168"/>
      <c r="E154" s="168"/>
      <c r="F154" s="168"/>
    </row>
    <row r="155" spans="2:6" x14ac:dyDescent="0.2">
      <c r="B155" s="168"/>
      <c r="C155" s="168"/>
      <c r="D155" s="168"/>
      <c r="E155" s="168"/>
      <c r="F155" s="168"/>
    </row>
    <row r="156" spans="2:6" x14ac:dyDescent="0.2">
      <c r="B156" s="168"/>
      <c r="C156" s="168"/>
      <c r="D156" s="168"/>
      <c r="E156" s="168"/>
      <c r="F156" s="168"/>
    </row>
    <row r="157" spans="2:6" x14ac:dyDescent="0.2">
      <c r="B157" s="168"/>
      <c r="C157" s="168"/>
      <c r="D157" s="168"/>
      <c r="E157" s="168"/>
      <c r="F157" s="168"/>
    </row>
    <row r="158" spans="2:6" x14ac:dyDescent="0.2">
      <c r="B158" s="168"/>
      <c r="C158" s="168"/>
      <c r="D158" s="168"/>
      <c r="E158" s="168"/>
      <c r="F158" s="168"/>
    </row>
    <row r="159" spans="2:6" x14ac:dyDescent="0.2">
      <c r="B159" s="168"/>
      <c r="C159" s="168"/>
      <c r="D159" s="168"/>
      <c r="E159" s="168"/>
      <c r="F159" s="168"/>
    </row>
    <row r="160" spans="2:6" x14ac:dyDescent="0.2">
      <c r="B160" s="168"/>
      <c r="C160" s="168"/>
      <c r="D160" s="168"/>
      <c r="E160" s="168"/>
      <c r="F160" s="168"/>
    </row>
    <row r="161" spans="2:6" x14ac:dyDescent="0.2">
      <c r="B161" s="168"/>
      <c r="C161" s="168"/>
      <c r="D161" s="168"/>
      <c r="E161" s="168"/>
      <c r="F161" s="168"/>
    </row>
    <row r="162" spans="2:6" x14ac:dyDescent="0.2">
      <c r="B162" s="168"/>
      <c r="C162" s="168"/>
      <c r="D162" s="168"/>
      <c r="E162" s="168"/>
      <c r="F162" s="168"/>
    </row>
    <row r="163" spans="2:6" x14ac:dyDescent="0.2">
      <c r="B163" s="168"/>
      <c r="C163" s="168"/>
      <c r="D163" s="168"/>
      <c r="E163" s="168"/>
      <c r="F163" s="168"/>
    </row>
    <row r="164" spans="2:6" x14ac:dyDescent="0.2">
      <c r="B164" s="168"/>
      <c r="C164" s="168"/>
      <c r="D164" s="168"/>
      <c r="E164" s="168"/>
      <c r="F164" s="168"/>
    </row>
    <row r="165" spans="2:6" x14ac:dyDescent="0.2">
      <c r="B165" s="168"/>
      <c r="C165" s="168"/>
      <c r="D165" s="168"/>
      <c r="E165" s="168"/>
      <c r="F165" s="168"/>
    </row>
    <row r="166" spans="2:6" x14ac:dyDescent="0.2">
      <c r="B166" s="168"/>
      <c r="C166" s="168"/>
      <c r="D166" s="168"/>
      <c r="E166" s="168"/>
      <c r="F166" s="168"/>
    </row>
    <row r="167" spans="2:6" x14ac:dyDescent="0.2">
      <c r="B167" s="168"/>
      <c r="C167" s="168"/>
      <c r="D167" s="168"/>
      <c r="E167" s="168"/>
      <c r="F167" s="168"/>
    </row>
    <row r="168" spans="2:6" x14ac:dyDescent="0.2">
      <c r="B168" s="168"/>
      <c r="C168" s="168"/>
      <c r="D168" s="168"/>
      <c r="E168" s="168"/>
      <c r="F168" s="168"/>
    </row>
    <row r="169" spans="2:6" x14ac:dyDescent="0.2">
      <c r="B169" s="168"/>
      <c r="C169" s="168"/>
      <c r="D169" s="168"/>
      <c r="E169" s="168"/>
      <c r="F169" s="168"/>
    </row>
    <row r="170" spans="2:6" x14ac:dyDescent="0.2">
      <c r="B170" s="168"/>
      <c r="C170" s="168"/>
      <c r="D170" s="168"/>
      <c r="E170" s="168"/>
      <c r="F170" s="168"/>
    </row>
    <row r="171" spans="2:6" x14ac:dyDescent="0.2">
      <c r="B171" s="168"/>
      <c r="C171" s="168"/>
      <c r="D171" s="168"/>
      <c r="E171" s="168"/>
      <c r="F171" s="168"/>
    </row>
    <row r="172" spans="2:6" x14ac:dyDescent="0.2">
      <c r="B172" s="168"/>
      <c r="C172" s="168"/>
      <c r="D172" s="168"/>
      <c r="E172" s="168"/>
      <c r="F172" s="168"/>
    </row>
    <row r="173" spans="2:6" x14ac:dyDescent="0.2">
      <c r="B173" s="168"/>
      <c r="C173" s="168"/>
      <c r="D173" s="168"/>
      <c r="E173" s="168"/>
      <c r="F173" s="168"/>
    </row>
    <row r="174" spans="2:6" x14ac:dyDescent="0.2">
      <c r="B174" s="168"/>
      <c r="C174" s="168"/>
      <c r="D174" s="168"/>
      <c r="E174" s="168"/>
      <c r="F174" s="168"/>
    </row>
    <row r="175" spans="2:6" x14ac:dyDescent="0.2">
      <c r="B175" s="168"/>
      <c r="C175" s="168"/>
      <c r="D175" s="168"/>
      <c r="E175" s="168"/>
      <c r="F175" s="168"/>
    </row>
    <row r="176" spans="2:6" x14ac:dyDescent="0.2">
      <c r="B176" s="168"/>
      <c r="C176" s="168"/>
      <c r="D176" s="168"/>
      <c r="E176" s="168"/>
      <c r="F176" s="168"/>
    </row>
    <row r="177" spans="2:6" x14ac:dyDescent="0.2">
      <c r="B177" s="168"/>
      <c r="C177" s="168"/>
      <c r="D177" s="168"/>
      <c r="E177" s="168"/>
      <c r="F177" s="168"/>
    </row>
    <row r="178" spans="2:6" x14ac:dyDescent="0.2">
      <c r="B178" s="168"/>
      <c r="C178" s="168"/>
      <c r="D178" s="168"/>
      <c r="E178" s="168"/>
      <c r="F178" s="168"/>
    </row>
    <row r="179" spans="2:6" x14ac:dyDescent="0.2">
      <c r="B179" s="168"/>
      <c r="C179" s="168"/>
      <c r="D179" s="168"/>
      <c r="E179" s="168"/>
      <c r="F179" s="168"/>
    </row>
    <row r="180" spans="2:6" x14ac:dyDescent="0.2">
      <c r="B180" s="168"/>
      <c r="C180" s="168"/>
      <c r="D180" s="168"/>
      <c r="E180" s="168"/>
      <c r="F180" s="168"/>
    </row>
    <row r="181" spans="2:6" x14ac:dyDescent="0.2">
      <c r="B181" s="168"/>
      <c r="C181" s="168"/>
      <c r="D181" s="168"/>
      <c r="E181" s="168"/>
      <c r="F181" s="168"/>
    </row>
    <row r="182" spans="2:6" x14ac:dyDescent="0.2">
      <c r="B182" s="168"/>
      <c r="C182" s="168"/>
      <c r="D182" s="168"/>
      <c r="E182" s="168"/>
      <c r="F182" s="168"/>
    </row>
    <row r="183" spans="2:6" x14ac:dyDescent="0.2">
      <c r="B183" s="168"/>
      <c r="C183" s="168"/>
      <c r="D183" s="168"/>
      <c r="E183" s="168"/>
      <c r="F183" s="168"/>
    </row>
  </sheetData>
  <mergeCells count="40">
    <mergeCell ref="B64:C64"/>
    <mergeCell ref="E62:E63"/>
    <mergeCell ref="B73:B75"/>
    <mergeCell ref="A79:F79"/>
    <mergeCell ref="A80:F80"/>
    <mergeCell ref="B65:B66"/>
    <mergeCell ref="C65:C66"/>
    <mergeCell ref="D65:D66"/>
    <mergeCell ref="E65:E66"/>
    <mergeCell ref="F65:F66"/>
    <mergeCell ref="B67:B69"/>
    <mergeCell ref="F45:F46"/>
    <mergeCell ref="B48:C49"/>
    <mergeCell ref="E48:E49"/>
    <mergeCell ref="B50:C50"/>
    <mergeCell ref="B51:B52"/>
    <mergeCell ref="C51:C52"/>
    <mergeCell ref="E45:E46"/>
    <mergeCell ref="B53:B55"/>
    <mergeCell ref="B58:B60"/>
    <mergeCell ref="B62:C63"/>
    <mergeCell ref="D62:D63"/>
    <mergeCell ref="B23:B24"/>
    <mergeCell ref="B27:F27"/>
    <mergeCell ref="B28:C28"/>
    <mergeCell ref="B30:B32"/>
    <mergeCell ref="B36:C37"/>
    <mergeCell ref="D36:D37"/>
    <mergeCell ref="E36:E37"/>
    <mergeCell ref="B40:B41"/>
    <mergeCell ref="B42:B44"/>
    <mergeCell ref="B45:B46"/>
    <mergeCell ref="C45:C46"/>
    <mergeCell ref="D45:D46"/>
    <mergeCell ref="B2:F2"/>
    <mergeCell ref="B3:F3"/>
    <mergeCell ref="B4:F4"/>
    <mergeCell ref="B5:F5"/>
    <mergeCell ref="B7:C8"/>
    <mergeCell ref="E7:E8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6"/>
  <sheetViews>
    <sheetView topLeftCell="A2" workbookViewId="0">
      <selection activeCell="N10" sqref="N10"/>
    </sheetView>
  </sheetViews>
  <sheetFormatPr baseColWidth="10" defaultRowHeight="15" x14ac:dyDescent="0.25"/>
  <cols>
    <col min="1" max="1" width="1.7109375" customWidth="1"/>
    <col min="2" max="2" width="4.5703125" customWidth="1"/>
    <col min="3" max="3" width="5.28515625" customWidth="1"/>
    <col min="4" max="4" width="79" customWidth="1"/>
    <col min="5" max="5" width="15.7109375" bestFit="1" customWidth="1"/>
    <col min="6" max="6" width="15" customWidth="1"/>
    <col min="7" max="9" width="15.7109375" bestFit="1" customWidth="1"/>
    <col min="10" max="10" width="15.28515625" bestFit="1" customWidth="1"/>
  </cols>
  <sheetData>
    <row r="1" spans="1:20" ht="15.75" hidden="1" thickBot="1" x14ac:dyDescent="0.3">
      <c r="A1" s="137" t="s">
        <v>69</v>
      </c>
      <c r="B1" s="137" t="s">
        <v>71</v>
      </c>
      <c r="H1" t="str">
        <f>IF(LEN(B1)&gt;2,MID(B1,FIND(".",B1)+2,2),"")</f>
        <v>9</v>
      </c>
      <c r="I1" t="str">
        <f>IF(K1="1","Enero",IF(K1="2","Febrero",IF(K1="3","Marzo",IF(K1="4","Abril",IF(K1="5","Mayo",IF(K1="6","Junio",IF(K1="7","Julio",IF(K1="8","Agosto",IF(K1="9","Septiembre",IF(K1="10","Octubre",IF(K1="11","Noviembre","Diciembre")))))))))))</f>
        <v>Enero</v>
      </c>
      <c r="J1" t="str">
        <f>IF(H1&lt;&gt;"",IF(H1="1","Enero",IF(H1="2","Febrero",IF(H1="3","Marzo",IF(H1="4","Abril",IF(H1="5","Mayo",IF(H1="6","Junio",IF(H1="7","Julio",IF(H1="8","Agosto",IF(H1="9","Septiembre",IF(H1="10","Octubre",IF(H1="11","Noviembre","Diciembre"))))))))))),0)</f>
        <v>Septiembre</v>
      </c>
      <c r="K1" t="str">
        <f>IF(AND(LEN(B1)&gt;0,LEN(B1)&lt;=2),MID(B1,1,2),MID(B1,1,FIND(".",B1)-1))</f>
        <v>1</v>
      </c>
      <c r="L1" s="138">
        <f>DATE(A1,Q1+1,0)</f>
        <v>43008</v>
      </c>
      <c r="M1">
        <f>DAY(L1)</f>
        <v>30</v>
      </c>
      <c r="Q1" t="str">
        <f>IF(OR(H1="13",H1="14",H1="15",H1="16"),12,H1)</f>
        <v>9</v>
      </c>
      <c r="T1" t="str">
        <f>IF(H1="3",CONCATENATE("1er Trimestre ",A1),IF(H1="6",CONCATENATE("2do Trimestre ",A1),IF(H1="9",CONCATENATE("3er Trimestre ",A1),IF(H1="12",CONCATENATE("4to Trimestre ",A1),A1))))</f>
        <v>3er Trimestre 2017</v>
      </c>
    </row>
    <row r="2" spans="1:20" ht="20.25" x14ac:dyDescent="0.25">
      <c r="B2" s="275" t="s">
        <v>0</v>
      </c>
      <c r="C2" s="276"/>
      <c r="D2" s="276"/>
      <c r="E2" s="276"/>
      <c r="F2" s="276"/>
      <c r="G2" s="276"/>
      <c r="H2" s="276"/>
      <c r="I2" s="276"/>
      <c r="J2" s="277"/>
    </row>
    <row r="3" spans="1:20" ht="15.75" x14ac:dyDescent="0.25">
      <c r="B3" s="278" t="s">
        <v>348</v>
      </c>
      <c r="C3" s="279"/>
      <c r="D3" s="279"/>
      <c r="E3" s="279"/>
      <c r="F3" s="279"/>
      <c r="G3" s="279"/>
      <c r="H3" s="279"/>
      <c r="I3" s="279"/>
      <c r="J3" s="280"/>
    </row>
    <row r="4" spans="1:20" x14ac:dyDescent="0.25">
      <c r="B4" s="281" t="str">
        <f>IF( J1=0,CONCATENATE(I1," del ",A1),CONCATENATE("Del ",1," de ", I1, " al ",DAY(EOMONTH(DATE(A1,Q1,1),0))," de ",J1," del ",A1))</f>
        <v>Del 1 de Enero al 30 de Septiembre del 2017</v>
      </c>
      <c r="C4" s="282"/>
      <c r="D4" s="282"/>
      <c r="E4" s="282"/>
      <c r="F4" s="282"/>
      <c r="G4" s="282"/>
      <c r="H4" s="282"/>
      <c r="I4" s="282"/>
      <c r="J4" s="283"/>
    </row>
    <row r="5" spans="1:20" ht="15.75" thickBot="1" x14ac:dyDescent="0.3">
      <c r="B5" s="284" t="s">
        <v>349</v>
      </c>
      <c r="C5" s="285"/>
      <c r="D5" s="285"/>
      <c r="E5" s="285"/>
      <c r="F5" s="285"/>
      <c r="G5" s="285"/>
      <c r="H5" s="285"/>
      <c r="I5" s="285"/>
      <c r="J5" s="286"/>
    </row>
    <row r="6" spans="1:20" ht="15.75" thickBot="1" x14ac:dyDescent="0.3">
      <c r="B6" s="287"/>
      <c r="C6" s="288"/>
      <c r="D6" s="289"/>
      <c r="E6" s="290" t="s">
        <v>3</v>
      </c>
      <c r="F6" s="291"/>
      <c r="G6" s="291"/>
      <c r="H6" s="291"/>
      <c r="I6" s="292"/>
      <c r="J6" s="267" t="s">
        <v>350</v>
      </c>
    </row>
    <row r="7" spans="1:20" x14ac:dyDescent="0.25">
      <c r="B7" s="294" t="s">
        <v>351</v>
      </c>
      <c r="C7" s="295"/>
      <c r="D7" s="296"/>
      <c r="E7" s="267" t="s">
        <v>352</v>
      </c>
      <c r="F7" s="297" t="s">
        <v>353</v>
      </c>
      <c r="G7" s="267" t="s">
        <v>6</v>
      </c>
      <c r="H7" s="267" t="s">
        <v>7</v>
      </c>
      <c r="I7" s="267" t="s">
        <v>8</v>
      </c>
      <c r="J7" s="293"/>
    </row>
    <row r="8" spans="1:20" ht="57" customHeight="1" thickBot="1" x14ac:dyDescent="0.3">
      <c r="B8" s="269" t="s">
        <v>354</v>
      </c>
      <c r="C8" s="270"/>
      <c r="D8" s="271"/>
      <c r="E8" s="268"/>
      <c r="F8" s="298"/>
      <c r="G8" s="268"/>
      <c r="H8" s="268"/>
      <c r="I8" s="268"/>
      <c r="J8" s="268"/>
    </row>
    <row r="9" spans="1:20" x14ac:dyDescent="0.25">
      <c r="B9" s="272"/>
      <c r="C9" s="273"/>
      <c r="D9" s="274"/>
      <c r="E9" s="139"/>
      <c r="F9" s="139"/>
      <c r="G9" s="139"/>
      <c r="H9" s="139"/>
      <c r="I9" s="139"/>
      <c r="J9" s="140"/>
    </row>
    <row r="10" spans="1:20" x14ac:dyDescent="0.25">
      <c r="B10" s="265" t="s">
        <v>355</v>
      </c>
      <c r="C10" s="255"/>
      <c r="D10" s="256"/>
      <c r="E10" s="139"/>
      <c r="F10" s="139"/>
      <c r="G10" s="139"/>
      <c r="H10" s="139"/>
      <c r="I10" s="139"/>
      <c r="J10" s="140"/>
    </row>
    <row r="11" spans="1:20" x14ac:dyDescent="0.25">
      <c r="B11" s="141"/>
      <c r="C11" s="259" t="s">
        <v>356</v>
      </c>
      <c r="D11" s="260"/>
      <c r="E11" s="142">
        <v>2884280750</v>
      </c>
      <c r="F11" s="142">
        <v>0</v>
      </c>
      <c r="G11" s="142">
        <v>2884280750</v>
      </c>
      <c r="H11" s="142">
        <v>2188395380.5</v>
      </c>
      <c r="I11" s="142">
        <v>2188395380.5</v>
      </c>
      <c r="J11" s="143">
        <v>695885369.5</v>
      </c>
    </row>
    <row r="12" spans="1:20" x14ac:dyDescent="0.25">
      <c r="B12" s="141"/>
      <c r="C12" s="259" t="s">
        <v>357</v>
      </c>
      <c r="D12" s="260"/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3">
        <v>0</v>
      </c>
    </row>
    <row r="13" spans="1:20" x14ac:dyDescent="0.25">
      <c r="B13" s="141"/>
      <c r="C13" s="259" t="s">
        <v>358</v>
      </c>
      <c r="D13" s="260"/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3">
        <v>0</v>
      </c>
    </row>
    <row r="14" spans="1:20" x14ac:dyDescent="0.25">
      <c r="B14" s="141"/>
      <c r="C14" s="259" t="s">
        <v>359</v>
      </c>
      <c r="D14" s="260"/>
      <c r="E14" s="142">
        <v>1725981511</v>
      </c>
      <c r="F14" s="142">
        <v>0</v>
      </c>
      <c r="G14" s="142">
        <v>1725981511</v>
      </c>
      <c r="H14" s="142">
        <v>1268047121.8699999</v>
      </c>
      <c r="I14" s="142">
        <v>1268047121.8699999</v>
      </c>
      <c r="J14" s="143">
        <v>457934389.13000011</v>
      </c>
    </row>
    <row r="15" spans="1:20" x14ac:dyDescent="0.25">
      <c r="B15" s="141"/>
      <c r="C15" s="259" t="s">
        <v>360</v>
      </c>
      <c r="D15" s="260"/>
      <c r="E15" s="142">
        <v>45792731</v>
      </c>
      <c r="F15" s="142">
        <v>0</v>
      </c>
      <c r="G15" s="142">
        <v>45792731</v>
      </c>
      <c r="H15" s="142">
        <v>104307879.06999999</v>
      </c>
      <c r="I15" s="142">
        <v>104307879.06999999</v>
      </c>
      <c r="J15" s="143">
        <v>-58515148.069999993</v>
      </c>
    </row>
    <row r="16" spans="1:20" x14ac:dyDescent="0.25">
      <c r="B16" s="141"/>
      <c r="C16" s="259" t="s">
        <v>361</v>
      </c>
      <c r="D16" s="260"/>
      <c r="E16" s="144">
        <v>59139280</v>
      </c>
      <c r="F16" s="144">
        <v>0</v>
      </c>
      <c r="G16" s="144">
        <v>59139280</v>
      </c>
      <c r="H16" s="144">
        <v>444756304.00999999</v>
      </c>
      <c r="I16" s="144">
        <v>444756304.00999999</v>
      </c>
      <c r="J16" s="145">
        <v>-385617024.00999999</v>
      </c>
    </row>
    <row r="17" spans="2:10" x14ac:dyDescent="0.25">
      <c r="B17" s="141"/>
      <c r="C17" s="259" t="s">
        <v>362</v>
      </c>
      <c r="D17" s="260"/>
      <c r="E17" s="144">
        <v>4788853</v>
      </c>
      <c r="F17" s="144">
        <v>0</v>
      </c>
      <c r="G17" s="144">
        <v>4788853</v>
      </c>
      <c r="H17" s="144">
        <v>4658759.4000000004</v>
      </c>
      <c r="I17" s="144">
        <v>4658759.4000000004</v>
      </c>
      <c r="J17" s="145">
        <v>130093.59999999963</v>
      </c>
    </row>
    <row r="18" spans="2:10" x14ac:dyDescent="0.25">
      <c r="B18" s="266"/>
      <c r="C18" s="259" t="s">
        <v>363</v>
      </c>
      <c r="D18" s="260"/>
      <c r="E18" s="146"/>
      <c r="F18" s="147"/>
      <c r="G18" s="147"/>
      <c r="H18" s="147"/>
      <c r="I18" s="147"/>
      <c r="J18" s="147"/>
    </row>
    <row r="19" spans="2:10" x14ac:dyDescent="0.25">
      <c r="B19" s="266"/>
      <c r="C19" s="259" t="s">
        <v>364</v>
      </c>
      <c r="D19" s="260"/>
      <c r="E19" s="148">
        <v>17988005166</v>
      </c>
      <c r="F19" s="148">
        <v>0</v>
      </c>
      <c r="G19" s="148">
        <v>17988005166</v>
      </c>
      <c r="H19" s="148">
        <v>15510407006.969999</v>
      </c>
      <c r="I19" s="148">
        <v>15510407006.969999</v>
      </c>
      <c r="J19" s="145">
        <v>2477598159.0300007</v>
      </c>
    </row>
    <row r="20" spans="2:10" x14ac:dyDescent="0.25">
      <c r="B20" s="141"/>
      <c r="C20" s="149"/>
      <c r="D20" s="150" t="s">
        <v>365</v>
      </c>
      <c r="E20" s="148">
        <v>13075164118</v>
      </c>
      <c r="F20" s="148">
        <v>0</v>
      </c>
      <c r="G20" s="148">
        <v>13075164118</v>
      </c>
      <c r="H20" s="148">
        <v>11499713140.969999</v>
      </c>
      <c r="I20" s="148">
        <v>11499713140.969999</v>
      </c>
      <c r="J20" s="143">
        <v>1575450977.0300007</v>
      </c>
    </row>
    <row r="21" spans="2:10" x14ac:dyDescent="0.25">
      <c r="B21" s="141"/>
      <c r="C21" s="149"/>
      <c r="D21" s="150" t="s">
        <v>366</v>
      </c>
      <c r="E21" s="148">
        <v>389726585</v>
      </c>
      <c r="F21" s="148">
        <v>0</v>
      </c>
      <c r="G21" s="148">
        <v>389726585</v>
      </c>
      <c r="H21" s="148">
        <v>339377798</v>
      </c>
      <c r="I21" s="148">
        <v>339377798</v>
      </c>
      <c r="J21" s="143">
        <v>50348787</v>
      </c>
    </row>
    <row r="22" spans="2:10" x14ac:dyDescent="0.25">
      <c r="B22" s="141"/>
      <c r="C22" s="149"/>
      <c r="D22" s="150" t="s">
        <v>367</v>
      </c>
      <c r="E22" s="148">
        <v>3330331398</v>
      </c>
      <c r="F22" s="148">
        <v>0</v>
      </c>
      <c r="G22" s="151">
        <v>3330331398</v>
      </c>
      <c r="H22" s="148">
        <v>2690704341</v>
      </c>
      <c r="I22" s="148">
        <v>2690704341</v>
      </c>
      <c r="J22" s="143">
        <v>639627057</v>
      </c>
    </row>
    <row r="23" spans="2:10" x14ac:dyDescent="0.25">
      <c r="B23" s="141"/>
      <c r="C23" s="149"/>
      <c r="D23" s="150" t="s">
        <v>368</v>
      </c>
      <c r="E23" s="152"/>
      <c r="F23" s="139"/>
      <c r="G23" s="139"/>
      <c r="H23" s="139"/>
      <c r="I23" s="139"/>
      <c r="J23" s="140"/>
    </row>
    <row r="24" spans="2:10" x14ac:dyDescent="0.25">
      <c r="B24" s="141"/>
      <c r="C24" s="149"/>
      <c r="D24" s="150" t="s">
        <v>369</v>
      </c>
      <c r="E24" s="152"/>
      <c r="F24" s="139"/>
      <c r="G24" s="139"/>
      <c r="H24" s="139"/>
      <c r="I24" s="139"/>
      <c r="J24" s="140"/>
    </row>
    <row r="25" spans="2:10" x14ac:dyDescent="0.25">
      <c r="B25" s="141"/>
      <c r="C25" s="149"/>
      <c r="D25" s="150" t="s">
        <v>370</v>
      </c>
      <c r="E25" s="148">
        <v>384197713</v>
      </c>
      <c r="F25" s="148">
        <v>0</v>
      </c>
      <c r="G25" s="142">
        <v>384197713</v>
      </c>
      <c r="H25" s="148">
        <v>317225266</v>
      </c>
      <c r="I25" s="148">
        <v>317225266</v>
      </c>
      <c r="J25" s="143">
        <v>66972447</v>
      </c>
    </row>
    <row r="26" spans="2:10" x14ac:dyDescent="0.25">
      <c r="B26" s="141"/>
      <c r="C26" s="149"/>
      <c r="D26" s="150" t="s">
        <v>371</v>
      </c>
      <c r="E26" s="152"/>
      <c r="F26" s="139"/>
      <c r="G26" s="139"/>
      <c r="H26" s="139"/>
      <c r="I26" s="139"/>
      <c r="J26" s="140"/>
    </row>
    <row r="27" spans="2:10" x14ac:dyDescent="0.25">
      <c r="B27" s="141"/>
      <c r="C27" s="149"/>
      <c r="D27" s="150" t="s">
        <v>372</v>
      </c>
      <c r="E27" s="152"/>
      <c r="F27" s="139"/>
      <c r="G27" s="139"/>
      <c r="H27" s="139"/>
      <c r="I27" s="139"/>
      <c r="J27" s="140"/>
    </row>
    <row r="28" spans="2:10" x14ac:dyDescent="0.25">
      <c r="B28" s="141"/>
      <c r="C28" s="149"/>
      <c r="D28" s="150" t="s">
        <v>373</v>
      </c>
      <c r="E28" s="152"/>
      <c r="F28" s="139"/>
      <c r="G28" s="139"/>
      <c r="H28" s="139"/>
      <c r="I28" s="139"/>
      <c r="J28" s="140"/>
    </row>
    <row r="29" spans="2:10" x14ac:dyDescent="0.25">
      <c r="B29" s="141"/>
      <c r="C29" s="149"/>
      <c r="D29" s="150" t="s">
        <v>374</v>
      </c>
      <c r="E29" s="148">
        <v>808585352</v>
      </c>
      <c r="F29" s="148">
        <v>0</v>
      </c>
      <c r="G29" s="142">
        <v>808585352</v>
      </c>
      <c r="H29" s="148">
        <v>663386461</v>
      </c>
      <c r="I29" s="148">
        <v>663386461</v>
      </c>
      <c r="J29" s="143">
        <v>145198891</v>
      </c>
    </row>
    <row r="30" spans="2:10" x14ac:dyDescent="0.25">
      <c r="B30" s="141"/>
      <c r="C30" s="149"/>
      <c r="D30" s="150" t="s">
        <v>375</v>
      </c>
      <c r="E30" s="152"/>
      <c r="F30" s="139"/>
      <c r="G30" s="139"/>
      <c r="H30" s="139"/>
      <c r="I30" s="139"/>
      <c r="J30" s="140"/>
    </row>
    <row r="31" spans="2:10" x14ac:dyDescent="0.25">
      <c r="B31" s="141"/>
      <c r="C31" s="259" t="s">
        <v>376</v>
      </c>
      <c r="D31" s="260"/>
      <c r="E31" s="142">
        <v>1902689864</v>
      </c>
      <c r="F31" s="142">
        <v>0</v>
      </c>
      <c r="G31" s="142">
        <v>1902689864</v>
      </c>
      <c r="H31" s="142">
        <v>1535147218.5899997</v>
      </c>
      <c r="I31" s="142">
        <v>1535147218.5899997</v>
      </c>
      <c r="J31" s="143">
        <v>367542645.41000032</v>
      </c>
    </row>
    <row r="32" spans="2:10" x14ac:dyDescent="0.25">
      <c r="B32" s="141"/>
      <c r="C32" s="149"/>
      <c r="D32" s="150" t="s">
        <v>377</v>
      </c>
      <c r="E32" s="142">
        <v>600000</v>
      </c>
      <c r="F32" s="142">
        <v>0</v>
      </c>
      <c r="G32" s="142">
        <v>600000</v>
      </c>
      <c r="H32" s="142">
        <v>514110.58</v>
      </c>
      <c r="I32" s="142">
        <v>514110.58</v>
      </c>
      <c r="J32" s="143">
        <v>85889.419999999984</v>
      </c>
    </row>
    <row r="33" spans="2:10" x14ac:dyDescent="0.25">
      <c r="B33" s="141"/>
      <c r="C33" s="149"/>
      <c r="D33" s="150" t="s">
        <v>378</v>
      </c>
      <c r="E33" s="142">
        <v>62892465</v>
      </c>
      <c r="F33" s="142">
        <v>0</v>
      </c>
      <c r="G33" s="142">
        <v>62892465</v>
      </c>
      <c r="H33" s="142">
        <v>47169351</v>
      </c>
      <c r="I33" s="142">
        <v>47169351</v>
      </c>
      <c r="J33" s="143">
        <v>15723114</v>
      </c>
    </row>
    <row r="34" spans="2:10" x14ac:dyDescent="0.25">
      <c r="B34" s="141"/>
      <c r="C34" s="149"/>
      <c r="D34" s="150" t="s">
        <v>379</v>
      </c>
      <c r="E34" s="142">
        <v>261707250</v>
      </c>
      <c r="F34" s="142">
        <v>0</v>
      </c>
      <c r="G34" s="142">
        <v>261707250</v>
      </c>
      <c r="H34" s="142">
        <v>218530673</v>
      </c>
      <c r="I34" s="142">
        <v>218530673</v>
      </c>
      <c r="J34" s="143">
        <v>43176577</v>
      </c>
    </row>
    <row r="35" spans="2:10" x14ac:dyDescent="0.25">
      <c r="B35" s="141"/>
      <c r="C35" s="149"/>
      <c r="D35" s="150" t="s">
        <v>380</v>
      </c>
      <c r="E35" s="142">
        <v>964240290</v>
      </c>
      <c r="F35" s="142">
        <v>0</v>
      </c>
      <c r="G35" s="142">
        <v>964240290</v>
      </c>
      <c r="H35" s="142">
        <v>703847760.26999998</v>
      </c>
      <c r="I35" s="142">
        <v>703847760.26999998</v>
      </c>
      <c r="J35" s="143">
        <v>260392529.73000002</v>
      </c>
    </row>
    <row r="36" spans="2:10" x14ac:dyDescent="0.25">
      <c r="B36" s="141"/>
      <c r="C36" s="149"/>
      <c r="D36" s="150" t="s">
        <v>381</v>
      </c>
      <c r="E36" s="142">
        <v>613249859</v>
      </c>
      <c r="F36" s="142">
        <v>0</v>
      </c>
      <c r="G36" s="142">
        <v>613249859</v>
      </c>
      <c r="H36" s="142">
        <v>565085323.73999989</v>
      </c>
      <c r="I36" s="142">
        <v>565085323.73999989</v>
      </c>
      <c r="J36" s="143">
        <v>48164535.26000011</v>
      </c>
    </row>
    <row r="37" spans="2:10" x14ac:dyDescent="0.25">
      <c r="B37" s="153"/>
      <c r="C37" s="149" t="s">
        <v>382</v>
      </c>
      <c r="D37" s="150"/>
      <c r="E37" s="142">
        <v>7252770866</v>
      </c>
      <c r="F37" s="142">
        <v>0</v>
      </c>
      <c r="G37" s="142">
        <v>7252770866</v>
      </c>
      <c r="H37" s="142">
        <v>5493706037.1099997</v>
      </c>
      <c r="I37" s="142">
        <v>5493706037.1099997</v>
      </c>
      <c r="J37" s="143">
        <v>1759064828.8900003</v>
      </c>
    </row>
    <row r="38" spans="2:10" x14ac:dyDescent="0.25">
      <c r="B38" s="141"/>
      <c r="C38" s="149" t="s">
        <v>383</v>
      </c>
      <c r="D38" s="150"/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3">
        <v>0</v>
      </c>
    </row>
    <row r="39" spans="2:10" x14ac:dyDescent="0.25">
      <c r="B39" s="141"/>
      <c r="C39" s="149"/>
      <c r="D39" s="150" t="s">
        <v>384</v>
      </c>
      <c r="E39" s="142"/>
      <c r="F39" s="142"/>
      <c r="G39" s="142"/>
      <c r="H39" s="142"/>
      <c r="I39" s="142"/>
      <c r="J39" s="140"/>
    </row>
    <row r="40" spans="2:10" x14ac:dyDescent="0.25">
      <c r="B40" s="141"/>
      <c r="C40" s="259" t="s">
        <v>385</v>
      </c>
      <c r="D40" s="260"/>
      <c r="E40" s="142">
        <v>0</v>
      </c>
      <c r="F40" s="142">
        <v>0</v>
      </c>
      <c r="G40" s="142">
        <v>0</v>
      </c>
      <c r="H40" s="142">
        <v>0</v>
      </c>
      <c r="I40" s="142">
        <v>0</v>
      </c>
      <c r="J40" s="143">
        <v>0</v>
      </c>
    </row>
    <row r="41" spans="2:10" x14ac:dyDescent="0.25">
      <c r="B41" s="141"/>
      <c r="C41" s="149"/>
      <c r="D41" s="150" t="s">
        <v>386</v>
      </c>
      <c r="E41" s="142"/>
      <c r="F41" s="142"/>
      <c r="G41" s="142"/>
      <c r="H41" s="142"/>
      <c r="I41" s="142"/>
      <c r="J41" s="140"/>
    </row>
    <row r="42" spans="2:10" x14ac:dyDescent="0.25">
      <c r="B42" s="141"/>
      <c r="C42" s="149"/>
      <c r="D42" s="150" t="s">
        <v>387</v>
      </c>
      <c r="E42" s="142"/>
      <c r="F42" s="142"/>
      <c r="G42" s="142"/>
      <c r="H42" s="142"/>
      <c r="I42" s="142"/>
      <c r="J42" s="143"/>
    </row>
    <row r="43" spans="2:10" x14ac:dyDescent="0.25">
      <c r="B43" s="141"/>
      <c r="C43" s="149"/>
      <c r="D43" s="150"/>
      <c r="E43" s="142"/>
      <c r="F43" s="142"/>
      <c r="G43" s="142"/>
      <c r="H43" s="142"/>
      <c r="I43" s="142"/>
      <c r="J43" s="140"/>
    </row>
    <row r="44" spans="2:10" x14ac:dyDescent="0.25">
      <c r="B44" s="265" t="s">
        <v>388</v>
      </c>
      <c r="C44" s="255"/>
      <c r="D44" s="256"/>
      <c r="E44" s="154">
        <v>31863449021</v>
      </c>
      <c r="F44" s="154">
        <v>0</v>
      </c>
      <c r="G44" s="154">
        <v>31863449021</v>
      </c>
      <c r="H44" s="154">
        <v>26549425707.52</v>
      </c>
      <c r="I44" s="154">
        <v>26549425707.52</v>
      </c>
      <c r="J44" s="155">
        <v>5314023313.4799995</v>
      </c>
    </row>
    <row r="45" spans="2:10" x14ac:dyDescent="0.25">
      <c r="B45" s="265" t="s">
        <v>389</v>
      </c>
      <c r="C45" s="255"/>
      <c r="D45" s="256"/>
      <c r="E45" s="156"/>
      <c r="F45" s="157"/>
      <c r="G45" s="157"/>
      <c r="H45" s="157"/>
      <c r="I45" s="157"/>
      <c r="J45" s="158"/>
    </row>
    <row r="46" spans="2:10" x14ac:dyDescent="0.25">
      <c r="B46" s="266"/>
      <c r="C46" s="259"/>
      <c r="D46" s="260"/>
      <c r="E46" s="156"/>
      <c r="F46" s="156"/>
      <c r="G46" s="156"/>
      <c r="H46" s="156"/>
      <c r="I46" s="156"/>
      <c r="J46" s="158"/>
    </row>
    <row r="47" spans="2:10" x14ac:dyDescent="0.25">
      <c r="B47" s="265" t="s">
        <v>390</v>
      </c>
      <c r="C47" s="255"/>
      <c r="D47" s="256"/>
      <c r="E47" s="152"/>
      <c r="F47" s="152"/>
      <c r="G47" s="152"/>
      <c r="H47" s="152"/>
      <c r="I47" s="152"/>
      <c r="J47" s="140"/>
    </row>
    <row r="48" spans="2:10" x14ac:dyDescent="0.25">
      <c r="B48" s="141"/>
      <c r="C48" s="149"/>
      <c r="D48" s="150"/>
      <c r="E48" s="139"/>
      <c r="F48" s="159"/>
      <c r="G48" s="159"/>
      <c r="H48" s="159"/>
      <c r="I48" s="159"/>
      <c r="J48" s="140"/>
    </row>
    <row r="49" spans="2:10" x14ac:dyDescent="0.25">
      <c r="B49" s="265" t="s">
        <v>391</v>
      </c>
      <c r="C49" s="255"/>
      <c r="D49" s="256"/>
      <c r="E49" s="139"/>
      <c r="F49" s="139"/>
      <c r="G49" s="139"/>
      <c r="H49" s="139"/>
      <c r="I49" s="139"/>
      <c r="J49" s="140"/>
    </row>
    <row r="50" spans="2:10" x14ac:dyDescent="0.25">
      <c r="B50" s="141"/>
      <c r="C50" s="259" t="s">
        <v>392</v>
      </c>
      <c r="D50" s="260"/>
      <c r="E50" s="142">
        <v>15419803856</v>
      </c>
      <c r="F50" s="142">
        <v>0</v>
      </c>
      <c r="G50" s="142">
        <v>15419803856</v>
      </c>
      <c r="H50" s="142">
        <v>11210953803.24</v>
      </c>
      <c r="I50" s="142">
        <v>11210953803.24</v>
      </c>
      <c r="J50" s="143">
        <v>4208850052.7600002</v>
      </c>
    </row>
    <row r="51" spans="2:10" x14ac:dyDescent="0.25">
      <c r="B51" s="153"/>
      <c r="C51" s="149"/>
      <c r="D51" s="160" t="s">
        <v>393</v>
      </c>
      <c r="E51" s="142">
        <v>8631444606</v>
      </c>
      <c r="F51" s="142">
        <v>0</v>
      </c>
      <c r="G51" s="142">
        <v>8631444606</v>
      </c>
      <c r="H51" s="142">
        <v>6208952442.75</v>
      </c>
      <c r="I51" s="142">
        <v>6208952442.75</v>
      </c>
      <c r="J51" s="143">
        <v>2422492163.25</v>
      </c>
    </row>
    <row r="52" spans="2:10" x14ac:dyDescent="0.25">
      <c r="B52" s="153"/>
      <c r="C52" s="149"/>
      <c r="D52" s="160" t="s">
        <v>394</v>
      </c>
      <c r="E52" s="142">
        <v>2283970188</v>
      </c>
      <c r="F52" s="142">
        <v>0</v>
      </c>
      <c r="G52" s="142">
        <v>2283970188</v>
      </c>
      <c r="H52" s="142">
        <v>1633259286.49</v>
      </c>
      <c r="I52" s="142">
        <v>1633259286.49</v>
      </c>
      <c r="J52" s="143">
        <v>650710901.50999999</v>
      </c>
    </row>
    <row r="53" spans="2:10" x14ac:dyDescent="0.25">
      <c r="B53" s="153"/>
      <c r="C53" s="149"/>
      <c r="D53" s="160" t="s">
        <v>395</v>
      </c>
      <c r="E53" s="142">
        <v>606210969</v>
      </c>
      <c r="F53" s="142">
        <v>0</v>
      </c>
      <c r="G53" s="142">
        <v>606210969</v>
      </c>
      <c r="H53" s="142">
        <v>559908735.82000005</v>
      </c>
      <c r="I53" s="142">
        <v>559908735.82000005</v>
      </c>
      <c r="J53" s="143">
        <v>46302233.179999948</v>
      </c>
    </row>
    <row r="54" spans="2:10" ht="24" x14ac:dyDescent="0.25">
      <c r="B54" s="153"/>
      <c r="C54" s="149"/>
      <c r="D54" s="160" t="s">
        <v>396</v>
      </c>
      <c r="E54" s="142">
        <v>1640966574</v>
      </c>
      <c r="F54" s="142">
        <v>0</v>
      </c>
      <c r="G54" s="142">
        <v>1640966574</v>
      </c>
      <c r="H54" s="142">
        <v>1229496775.1700001</v>
      </c>
      <c r="I54" s="142">
        <v>1229496775.1700001</v>
      </c>
      <c r="J54" s="143">
        <v>411469798.82999992</v>
      </c>
    </row>
    <row r="55" spans="2:10" x14ac:dyDescent="0.25">
      <c r="B55" s="153"/>
      <c r="C55" s="149"/>
      <c r="D55" s="160" t="s">
        <v>397</v>
      </c>
      <c r="E55" s="142">
        <v>787393555</v>
      </c>
      <c r="F55" s="142">
        <v>0</v>
      </c>
      <c r="G55" s="142">
        <v>787393555</v>
      </c>
      <c r="H55" s="142">
        <v>427536443.13999999</v>
      </c>
      <c r="I55" s="142">
        <v>427536443.13999999</v>
      </c>
      <c r="J55" s="143">
        <v>359857111.86000001</v>
      </c>
    </row>
    <row r="56" spans="2:10" ht="22.5" customHeight="1" x14ac:dyDescent="0.25">
      <c r="B56" s="153"/>
      <c r="C56" s="149"/>
      <c r="D56" s="160" t="s">
        <v>398</v>
      </c>
      <c r="E56" s="142">
        <v>285959780</v>
      </c>
      <c r="F56" s="142">
        <v>0</v>
      </c>
      <c r="G56" s="142">
        <v>285959780</v>
      </c>
      <c r="H56" s="142">
        <v>201407825.77000001</v>
      </c>
      <c r="I56" s="142">
        <v>201407825.77000001</v>
      </c>
      <c r="J56" s="143">
        <v>84551954.229999989</v>
      </c>
    </row>
    <row r="57" spans="2:10" x14ac:dyDescent="0.25">
      <c r="B57" s="153"/>
      <c r="C57" s="149"/>
      <c r="D57" s="160" t="s">
        <v>399</v>
      </c>
      <c r="E57" s="142">
        <v>299726465</v>
      </c>
      <c r="F57" s="142">
        <v>0</v>
      </c>
      <c r="G57" s="142">
        <v>299726465</v>
      </c>
      <c r="H57" s="142">
        <v>274372721.52999997</v>
      </c>
      <c r="I57" s="142">
        <v>274372721.52999997</v>
      </c>
      <c r="J57" s="143">
        <v>25353743.470000029</v>
      </c>
    </row>
    <row r="58" spans="2:10" x14ac:dyDescent="0.25">
      <c r="B58" s="153"/>
      <c r="C58" s="149"/>
      <c r="D58" s="160" t="s">
        <v>400</v>
      </c>
      <c r="E58" s="142">
        <v>884131719</v>
      </c>
      <c r="F58" s="142">
        <v>0</v>
      </c>
      <c r="G58" s="142">
        <v>884131719</v>
      </c>
      <c r="H58" s="142">
        <v>676019572.57000005</v>
      </c>
      <c r="I58" s="142">
        <v>676019572.57000005</v>
      </c>
      <c r="J58" s="143">
        <v>208112146.42999995</v>
      </c>
    </row>
    <row r="59" spans="2:10" x14ac:dyDescent="0.25">
      <c r="B59" s="141"/>
      <c r="C59" s="259" t="s">
        <v>401</v>
      </c>
      <c r="D59" s="260"/>
      <c r="E59" s="142">
        <v>1566500000</v>
      </c>
      <c r="F59" s="142">
        <v>3598068186.3299999</v>
      </c>
      <c r="G59" s="142">
        <v>5164568186.3299999</v>
      </c>
      <c r="H59" s="142">
        <v>3654660721.1399999</v>
      </c>
      <c r="I59" s="142">
        <v>3654660721.1399999</v>
      </c>
      <c r="J59" s="143">
        <v>-2088160721.1399999</v>
      </c>
    </row>
    <row r="60" spans="2:10" x14ac:dyDescent="0.25">
      <c r="B60" s="141"/>
      <c r="C60" s="149"/>
      <c r="D60" s="150" t="s">
        <v>402</v>
      </c>
      <c r="E60" s="142"/>
      <c r="F60" s="142"/>
      <c r="G60" s="142"/>
      <c r="H60" s="142"/>
      <c r="I60" s="142"/>
      <c r="J60" s="143">
        <v>0</v>
      </c>
    </row>
    <row r="61" spans="2:10" x14ac:dyDescent="0.25">
      <c r="B61" s="153"/>
      <c r="C61" s="149"/>
      <c r="D61" s="150" t="s">
        <v>403</v>
      </c>
      <c r="E61" s="142">
        <v>1566500000</v>
      </c>
      <c r="F61" s="142">
        <v>3598068186.3299999</v>
      </c>
      <c r="G61" s="142">
        <v>5164568186.3299999</v>
      </c>
      <c r="H61" s="142">
        <v>3654660721.1399999</v>
      </c>
      <c r="I61" s="142">
        <v>3654660721.1399999</v>
      </c>
      <c r="J61" s="143">
        <v>-2088160721.1399999</v>
      </c>
    </row>
    <row r="62" spans="2:10" x14ac:dyDescent="0.25">
      <c r="B62" s="141"/>
      <c r="C62" s="149"/>
      <c r="D62" s="150" t="s">
        <v>404</v>
      </c>
      <c r="E62" s="139"/>
      <c r="F62" s="139"/>
      <c r="G62" s="139"/>
      <c r="H62" s="139"/>
      <c r="I62" s="139"/>
      <c r="J62" s="140"/>
    </row>
    <row r="63" spans="2:10" x14ac:dyDescent="0.25">
      <c r="B63" s="141"/>
      <c r="C63" s="149"/>
      <c r="D63" s="150" t="s">
        <v>405</v>
      </c>
      <c r="E63" s="139"/>
      <c r="F63" s="139"/>
      <c r="G63" s="139"/>
      <c r="H63" s="139"/>
      <c r="I63" s="139"/>
      <c r="J63" s="140"/>
    </row>
    <row r="64" spans="2:10" x14ac:dyDescent="0.25">
      <c r="B64" s="141"/>
      <c r="C64" s="259" t="s">
        <v>406</v>
      </c>
      <c r="D64" s="260"/>
      <c r="E64" s="142">
        <v>0</v>
      </c>
      <c r="F64" s="142">
        <v>0</v>
      </c>
      <c r="G64" s="142">
        <v>0</v>
      </c>
      <c r="H64" s="142">
        <v>0</v>
      </c>
      <c r="I64" s="142">
        <v>0</v>
      </c>
      <c r="J64" s="143">
        <v>0</v>
      </c>
    </row>
    <row r="65" spans="2:10" x14ac:dyDescent="0.25">
      <c r="B65" s="141"/>
      <c r="C65" s="149"/>
      <c r="D65" s="160" t="s">
        <v>407</v>
      </c>
      <c r="E65" s="139"/>
      <c r="F65" s="139"/>
      <c r="G65" s="139"/>
      <c r="H65" s="139"/>
      <c r="I65" s="139"/>
      <c r="J65" s="140"/>
    </row>
    <row r="66" spans="2:10" x14ac:dyDescent="0.25">
      <c r="B66" s="141"/>
      <c r="C66" s="149"/>
      <c r="D66" s="150" t="s">
        <v>408</v>
      </c>
      <c r="E66" s="139"/>
      <c r="F66" s="139"/>
      <c r="G66" s="139"/>
      <c r="H66" s="139"/>
      <c r="I66" s="139"/>
      <c r="J66" s="140"/>
    </row>
    <row r="67" spans="2:10" x14ac:dyDescent="0.25">
      <c r="B67" s="153"/>
      <c r="C67" s="263" t="s">
        <v>409</v>
      </c>
      <c r="D67" s="264"/>
      <c r="E67" s="142">
        <v>3102127067</v>
      </c>
      <c r="F67" s="142">
        <v>0</v>
      </c>
      <c r="G67" s="142">
        <v>3102127067</v>
      </c>
      <c r="H67" s="142">
        <v>2519268385.3000002</v>
      </c>
      <c r="I67" s="142">
        <v>2519268385.3000002</v>
      </c>
      <c r="J67" s="142">
        <v>582858681.69999981</v>
      </c>
    </row>
    <row r="68" spans="2:10" x14ac:dyDescent="0.25">
      <c r="B68" s="153"/>
      <c r="C68" s="259" t="s">
        <v>410</v>
      </c>
      <c r="D68" s="260"/>
      <c r="E68" s="142"/>
      <c r="F68" s="142"/>
      <c r="G68" s="142"/>
      <c r="H68" s="142"/>
      <c r="I68" s="142"/>
      <c r="J68" s="142"/>
    </row>
    <row r="69" spans="2:10" x14ac:dyDescent="0.25">
      <c r="B69" s="141"/>
      <c r="C69" s="259"/>
      <c r="D69" s="260"/>
      <c r="E69" s="139"/>
      <c r="F69" s="159"/>
      <c r="G69" s="159"/>
      <c r="H69" s="159"/>
      <c r="I69" s="159"/>
      <c r="J69" s="140"/>
    </row>
    <row r="70" spans="2:10" x14ac:dyDescent="0.25">
      <c r="B70" s="265" t="s">
        <v>411</v>
      </c>
      <c r="C70" s="255"/>
      <c r="D70" s="256"/>
      <c r="E70" s="154">
        <v>20088430923</v>
      </c>
      <c r="F70" s="154">
        <v>3598068186.3299999</v>
      </c>
      <c r="G70" s="154">
        <v>23686499109.330002</v>
      </c>
      <c r="H70" s="154">
        <v>17384882909.68</v>
      </c>
      <c r="I70" s="154">
        <v>17384882909.68</v>
      </c>
      <c r="J70" s="155">
        <v>2703548013.3199997</v>
      </c>
    </row>
    <row r="71" spans="2:10" x14ac:dyDescent="0.25">
      <c r="B71" s="141"/>
      <c r="C71" s="259"/>
      <c r="D71" s="260"/>
      <c r="E71" s="142"/>
      <c r="F71" s="142"/>
      <c r="G71" s="142"/>
      <c r="H71" s="142"/>
      <c r="I71" s="142"/>
      <c r="J71" s="140"/>
    </row>
    <row r="72" spans="2:10" x14ac:dyDescent="0.25">
      <c r="B72" s="265" t="s">
        <v>412</v>
      </c>
      <c r="C72" s="255"/>
      <c r="D72" s="256"/>
      <c r="E72" s="161">
        <v>4500000000</v>
      </c>
      <c r="F72" s="161">
        <v>0</v>
      </c>
      <c r="G72" s="161">
        <v>4500000000</v>
      </c>
      <c r="H72" s="161">
        <v>2584150842.1500001</v>
      </c>
      <c r="I72" s="161">
        <v>2584150842.1500001</v>
      </c>
      <c r="J72" s="155">
        <v>1915849157.8499999</v>
      </c>
    </row>
    <row r="73" spans="2:10" x14ac:dyDescent="0.25">
      <c r="B73" s="141"/>
      <c r="C73" s="259" t="s">
        <v>413</v>
      </c>
      <c r="D73" s="260"/>
      <c r="E73" s="142">
        <v>4500000000</v>
      </c>
      <c r="F73" s="142">
        <v>0</v>
      </c>
      <c r="G73" s="142">
        <v>4500000000</v>
      </c>
      <c r="H73" s="142">
        <v>2584150842.1500001</v>
      </c>
      <c r="I73" s="142">
        <v>2584150842.1500001</v>
      </c>
      <c r="J73" s="143">
        <v>1915849157.8499999</v>
      </c>
    </row>
    <row r="74" spans="2:10" x14ac:dyDescent="0.25">
      <c r="B74" s="141"/>
      <c r="C74" s="259"/>
      <c r="D74" s="260"/>
      <c r="E74" s="142"/>
      <c r="F74" s="142"/>
      <c r="G74" s="142"/>
      <c r="H74" s="142"/>
      <c r="I74" s="142"/>
      <c r="J74" s="140"/>
    </row>
    <row r="75" spans="2:10" x14ac:dyDescent="0.25">
      <c r="B75" s="265" t="s">
        <v>414</v>
      </c>
      <c r="C75" s="255"/>
      <c r="D75" s="256"/>
      <c r="E75" s="154">
        <v>56451879944</v>
      </c>
      <c r="F75" s="154">
        <v>3598068186.3299999</v>
      </c>
      <c r="G75" s="154">
        <v>60049948130.330002</v>
      </c>
      <c r="H75" s="154">
        <v>46518459459.349998</v>
      </c>
      <c r="I75" s="154">
        <v>46518459459.349998</v>
      </c>
      <c r="J75" s="155">
        <v>9933420484.6500015</v>
      </c>
    </row>
    <row r="76" spans="2:10" x14ac:dyDescent="0.25">
      <c r="B76" s="141"/>
      <c r="C76" s="259"/>
      <c r="D76" s="260"/>
      <c r="E76" s="139"/>
      <c r="F76" s="139"/>
      <c r="G76" s="139"/>
      <c r="H76" s="139"/>
      <c r="I76" s="139"/>
      <c r="J76" s="140"/>
    </row>
    <row r="77" spans="2:10" x14ac:dyDescent="0.25">
      <c r="B77" s="141"/>
      <c r="C77" s="255" t="s">
        <v>415</v>
      </c>
      <c r="D77" s="256"/>
      <c r="E77" s="139"/>
      <c r="F77" s="139"/>
      <c r="G77" s="139"/>
      <c r="H77" s="139"/>
      <c r="I77" s="139"/>
      <c r="J77" s="140"/>
    </row>
    <row r="78" spans="2:10" ht="21.75" customHeight="1" x14ac:dyDescent="0.25">
      <c r="B78" s="141"/>
      <c r="C78" s="257" t="s">
        <v>416</v>
      </c>
      <c r="D78" s="258"/>
      <c r="E78" s="142">
        <v>4500000000</v>
      </c>
      <c r="F78" s="142">
        <v>0</v>
      </c>
      <c r="G78" s="142">
        <v>4500000000</v>
      </c>
      <c r="H78" s="142">
        <v>2584150842.1500001</v>
      </c>
      <c r="I78" s="142">
        <v>2584150842.1500001</v>
      </c>
      <c r="J78" s="142">
        <v>1915849157.8499999</v>
      </c>
    </row>
    <row r="79" spans="2:10" x14ac:dyDescent="0.25">
      <c r="B79" s="141"/>
      <c r="C79" s="259" t="s">
        <v>417</v>
      </c>
      <c r="D79" s="260"/>
      <c r="E79" s="152"/>
      <c r="F79" s="152"/>
      <c r="G79" s="152"/>
      <c r="H79" s="152"/>
      <c r="I79" s="152"/>
      <c r="J79" s="140"/>
    </row>
    <row r="80" spans="2:10" x14ac:dyDescent="0.25">
      <c r="B80" s="141"/>
      <c r="C80" s="255" t="s">
        <v>418</v>
      </c>
      <c r="D80" s="256"/>
      <c r="E80" s="154">
        <v>4500000000</v>
      </c>
      <c r="F80" s="154">
        <v>0</v>
      </c>
      <c r="G80" s="154">
        <v>4500000000</v>
      </c>
      <c r="H80" s="154">
        <v>2584150842.1500001</v>
      </c>
      <c r="I80" s="154">
        <v>2584150842.1500001</v>
      </c>
      <c r="J80" s="155">
        <v>1915849157.8499999</v>
      </c>
    </row>
    <row r="81" spans="2:10" ht="15.75" thickBot="1" x14ac:dyDescent="0.3">
      <c r="B81" s="162"/>
      <c r="C81" s="261"/>
      <c r="D81" s="262"/>
      <c r="E81" s="163"/>
      <c r="F81" s="164"/>
      <c r="G81" s="164"/>
      <c r="H81" s="164"/>
      <c r="I81" s="164"/>
      <c r="J81" s="164"/>
    </row>
    <row r="82" spans="2:10" x14ac:dyDescent="0.25">
      <c r="B82" s="165"/>
      <c r="C82" s="165"/>
      <c r="D82" s="165"/>
      <c r="E82" s="165"/>
      <c r="F82" s="165"/>
      <c r="G82" s="165"/>
      <c r="H82" s="165"/>
      <c r="I82" s="165"/>
      <c r="J82" s="165"/>
    </row>
    <row r="83" spans="2:10" x14ac:dyDescent="0.25">
      <c r="H83" s="166"/>
    </row>
    <row r="84" spans="2:10" x14ac:dyDescent="0.25">
      <c r="E84" s="166"/>
    </row>
    <row r="85" spans="2:10" x14ac:dyDescent="0.25">
      <c r="F85" s="166"/>
      <c r="H85" s="166"/>
    </row>
    <row r="86" spans="2:10" x14ac:dyDescent="0.25">
      <c r="H86" s="166"/>
    </row>
  </sheetData>
  <mergeCells count="51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50:D50"/>
    <mergeCell ref="C17:D17"/>
    <mergeCell ref="B18:B19"/>
    <mergeCell ref="C18:D18"/>
    <mergeCell ref="C19:D19"/>
    <mergeCell ref="C31:D31"/>
    <mergeCell ref="C40:D40"/>
    <mergeCell ref="B44:D44"/>
    <mergeCell ref="B45:D45"/>
    <mergeCell ref="B46:D46"/>
    <mergeCell ref="B47:D47"/>
    <mergeCell ref="B49:D49"/>
    <mergeCell ref="C76:D76"/>
    <mergeCell ref="C59:D59"/>
    <mergeCell ref="C64:D64"/>
    <mergeCell ref="C67:D67"/>
    <mergeCell ref="C68:D68"/>
    <mergeCell ref="C69:D69"/>
    <mergeCell ref="B70:D70"/>
    <mergeCell ref="C71:D71"/>
    <mergeCell ref="B72:D72"/>
    <mergeCell ref="C73:D73"/>
    <mergeCell ref="C74:D74"/>
    <mergeCell ref="B75:D75"/>
    <mergeCell ref="C77:D77"/>
    <mergeCell ref="C78:D78"/>
    <mergeCell ref="C79:D79"/>
    <mergeCell ref="C80:D80"/>
    <mergeCell ref="C81:D81"/>
  </mergeCells>
  <pageMargins left="0.7" right="0.7" top="0.75" bottom="0.75" header="0.3" footer="0.3"/>
  <pageSetup scale="4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opLeftCell="A44" zoomScaleNormal="100" workbookViewId="0">
      <selection activeCell="A68" sqref="A68:L69"/>
    </sheetView>
  </sheetViews>
  <sheetFormatPr baseColWidth="10" defaultRowHeight="15" x14ac:dyDescent="0.25"/>
  <cols>
    <col min="1" max="1" width="6.42578125" style="12" customWidth="1"/>
    <col min="2" max="2" width="8" style="12" customWidth="1"/>
    <col min="3" max="3" width="8.140625" style="12" customWidth="1"/>
    <col min="4" max="4" width="22.28515625" style="12" customWidth="1"/>
    <col min="5" max="5" width="11.42578125" style="12"/>
    <col min="6" max="6" width="7.5703125" style="13" hidden="1" customWidth="1"/>
    <col min="7" max="7" width="17.42578125" style="12" bestFit="1" customWidth="1"/>
    <col min="8" max="8" width="16.42578125" style="12" bestFit="1" customWidth="1"/>
    <col min="9" max="11" width="17.42578125" style="12" bestFit="1" customWidth="1"/>
    <col min="12" max="12" width="17" style="12" bestFit="1" customWidth="1"/>
    <col min="13" max="16384" width="11.42578125" style="12"/>
  </cols>
  <sheetData>
    <row r="1" spans="1:12" s="22" customFormat="1" ht="17.25" hidden="1" customHeight="1" x14ac:dyDescent="0.25">
      <c r="A1" s="21" t="s">
        <v>69</v>
      </c>
      <c r="B1" s="21"/>
      <c r="C1" s="21" t="s">
        <v>70</v>
      </c>
      <c r="E1" s="21" t="s">
        <v>71</v>
      </c>
      <c r="F1" s="22" t="str">
        <f>IF(AND(LEN(E1)&gt;0,LEN(E1)&lt;=2),MID(E1,1,2),MID(E1,1,FIND(".",E1)-1))</f>
        <v>1</v>
      </c>
      <c r="G1" s="22" t="str">
        <f>IF(LEN(E1)&gt;2,MID(E1,FIND(".",E1)+2,2),0)</f>
        <v>9</v>
      </c>
      <c r="H1" s="22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22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Septiembre</v>
      </c>
      <c r="J1" s="22" t="str">
        <f>IF(OR(G1="13",G1="14",G1="15",G1="16"),12,G1)</f>
        <v>9</v>
      </c>
    </row>
    <row r="2" spans="1:12" ht="15.75" thickBot="1" x14ac:dyDescent="0.3"/>
    <row r="3" spans="1:12" ht="18.75" x14ac:dyDescent="0.3">
      <c r="A3" s="305" t="s"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7"/>
    </row>
    <row r="4" spans="1:12" ht="15.75" x14ac:dyDescent="0.25">
      <c r="A4" s="308" t="s">
        <v>34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10"/>
    </row>
    <row r="5" spans="1:12" ht="33.75" customHeight="1" thickBot="1" x14ac:dyDescent="0.3">
      <c r="A5" s="311" t="str">
        <f>IF( G1=0,CONCATENATE(H1," del ",A1),CONCATENATE("Del ",1," de ", H1, " al ",DAY(EOMONTH(DATE(A1,J1,1),0))," de ",I1," del ",A1))</f>
        <v>Del 1 de Enero al 30 de Septiembre del 2017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3"/>
    </row>
    <row r="6" spans="1:12" ht="15.75" hidden="1" thickBot="1" x14ac:dyDescent="0.3">
      <c r="A6" s="314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11 de Noviembre del 2017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6"/>
    </row>
    <row r="7" spans="1:12" ht="15.75" thickBot="1" x14ac:dyDescent="0.3">
      <c r="A7" s="317" t="s">
        <v>1</v>
      </c>
      <c r="B7" s="318"/>
      <c r="C7" s="318"/>
      <c r="D7" s="318"/>
      <c r="E7" s="318"/>
      <c r="F7" s="321" t="s">
        <v>2</v>
      </c>
      <c r="G7" s="299" t="s">
        <v>3</v>
      </c>
      <c r="H7" s="300"/>
      <c r="I7" s="300"/>
      <c r="J7" s="300"/>
      <c r="K7" s="303"/>
      <c r="L7" s="1"/>
    </row>
    <row r="8" spans="1:12" ht="30.75" thickBot="1" x14ac:dyDescent="0.3">
      <c r="A8" s="311"/>
      <c r="B8" s="312"/>
      <c r="C8" s="312"/>
      <c r="D8" s="312"/>
      <c r="E8" s="312"/>
      <c r="F8" s="322"/>
      <c r="G8" s="18" t="s">
        <v>4</v>
      </c>
      <c r="H8" s="19" t="s">
        <v>5</v>
      </c>
      <c r="I8" s="18" t="s">
        <v>6</v>
      </c>
      <c r="J8" s="20" t="s">
        <v>7</v>
      </c>
      <c r="K8" s="18" t="s">
        <v>8</v>
      </c>
      <c r="L8" s="47" t="s">
        <v>9</v>
      </c>
    </row>
    <row r="9" spans="1:12" ht="15.75" thickBot="1" x14ac:dyDescent="0.3">
      <c r="A9" s="319"/>
      <c r="B9" s="320"/>
      <c r="C9" s="320"/>
      <c r="D9" s="320"/>
      <c r="E9" s="320"/>
      <c r="F9" s="323"/>
      <c r="G9" s="2" t="s">
        <v>10</v>
      </c>
      <c r="H9" s="3" t="s">
        <v>11</v>
      </c>
      <c r="I9" s="2" t="s">
        <v>12</v>
      </c>
      <c r="J9" s="3" t="s">
        <v>13</v>
      </c>
      <c r="K9" s="2" t="s">
        <v>14</v>
      </c>
      <c r="L9" s="32" t="s">
        <v>39</v>
      </c>
    </row>
    <row r="10" spans="1:12" x14ac:dyDescent="0.25">
      <c r="A10" s="4"/>
      <c r="B10" s="5"/>
      <c r="C10" s="5"/>
      <c r="D10" s="5"/>
      <c r="E10" s="5"/>
      <c r="F10" s="6"/>
      <c r="G10" s="24"/>
      <c r="H10" s="24"/>
      <c r="I10" s="24"/>
      <c r="J10" s="24"/>
      <c r="K10" s="24"/>
      <c r="L10" s="25"/>
    </row>
    <row r="11" spans="1:12" x14ac:dyDescent="0.25">
      <c r="A11" s="15" t="s">
        <v>28</v>
      </c>
      <c r="B11" s="14"/>
      <c r="C11" s="14"/>
      <c r="D11" s="14"/>
      <c r="E11" s="14"/>
      <c r="F11" s="16"/>
      <c r="G11" s="24"/>
      <c r="H11" s="24"/>
      <c r="I11" s="24"/>
      <c r="J11" s="24"/>
      <c r="K11" s="24"/>
      <c r="L11" s="25"/>
    </row>
    <row r="12" spans="1:12" x14ac:dyDescent="0.25">
      <c r="A12" s="17"/>
      <c r="B12" s="27" t="s">
        <v>15</v>
      </c>
      <c r="C12" s="27"/>
      <c r="D12" s="27"/>
      <c r="E12" s="27"/>
      <c r="F12" s="6">
        <v>1</v>
      </c>
      <c r="G12" s="29">
        <v>2884280750</v>
      </c>
      <c r="H12" s="29">
        <v>0</v>
      </c>
      <c r="I12" s="29">
        <v>2884280750</v>
      </c>
      <c r="J12" s="29">
        <v>2188395380.5</v>
      </c>
      <c r="K12" s="29">
        <v>2188395380.5</v>
      </c>
      <c r="L12" s="29">
        <v>-695885369.5</v>
      </c>
    </row>
    <row r="13" spans="1:12" x14ac:dyDescent="0.25">
      <c r="A13" s="17"/>
      <c r="B13" s="27"/>
      <c r="C13" s="27"/>
      <c r="D13" s="26" t="s">
        <v>29</v>
      </c>
      <c r="E13" s="27"/>
      <c r="F13" s="6"/>
      <c r="G13" s="29">
        <v>2884280750</v>
      </c>
      <c r="H13" s="29">
        <v>0</v>
      </c>
      <c r="I13" s="29">
        <v>2884280750</v>
      </c>
      <c r="J13" s="29">
        <v>2188395380.5</v>
      </c>
      <c r="K13" s="29">
        <v>2188395380.5</v>
      </c>
      <c r="L13" s="30">
        <v>-695885369.5</v>
      </c>
    </row>
    <row r="14" spans="1:12" x14ac:dyDescent="0.25">
      <c r="A14" s="17"/>
      <c r="B14" s="27"/>
      <c r="C14" s="27"/>
      <c r="D14" s="26"/>
      <c r="E14" s="27"/>
      <c r="F14" s="6"/>
      <c r="G14" s="29"/>
      <c r="H14" s="29"/>
      <c r="I14" s="29"/>
      <c r="J14" s="29"/>
      <c r="K14" s="29"/>
      <c r="L14" s="30"/>
    </row>
    <row r="15" spans="1:12" x14ac:dyDescent="0.25">
      <c r="A15" s="17"/>
      <c r="B15" s="27" t="s">
        <v>16</v>
      </c>
      <c r="C15" s="27"/>
      <c r="D15" s="27"/>
      <c r="E15" s="27"/>
      <c r="F15" s="6">
        <v>3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</row>
    <row r="16" spans="1:12" x14ac:dyDescent="0.25">
      <c r="A16" s="17"/>
      <c r="B16" s="27"/>
      <c r="C16" s="27"/>
      <c r="D16" s="27"/>
      <c r="E16" s="27"/>
      <c r="F16" s="6"/>
      <c r="G16" s="29"/>
      <c r="H16" s="29"/>
      <c r="I16" s="29"/>
      <c r="J16" s="29"/>
      <c r="K16" s="29"/>
      <c r="L16" s="30"/>
    </row>
    <row r="17" spans="1:12" x14ac:dyDescent="0.25">
      <c r="A17" s="17"/>
      <c r="B17" s="27" t="s">
        <v>17</v>
      </c>
      <c r="C17" s="27"/>
      <c r="D17" s="27"/>
      <c r="E17" s="27"/>
      <c r="F17" s="6">
        <v>4</v>
      </c>
      <c r="G17" s="29">
        <v>1725981511</v>
      </c>
      <c r="H17" s="29">
        <v>0</v>
      </c>
      <c r="I17" s="29">
        <v>1725981511</v>
      </c>
      <c r="J17" s="29">
        <v>1268047121.8699999</v>
      </c>
      <c r="K17" s="29">
        <v>1268047121.8699999</v>
      </c>
      <c r="L17" s="29">
        <v>-457934389.13000011</v>
      </c>
    </row>
    <row r="18" spans="1:12" x14ac:dyDescent="0.25">
      <c r="A18" s="17"/>
      <c r="B18" s="27"/>
      <c r="C18" s="27"/>
      <c r="D18" s="26" t="s">
        <v>29</v>
      </c>
      <c r="E18" s="27"/>
      <c r="F18" s="6"/>
      <c r="G18" s="29">
        <v>1725981511</v>
      </c>
      <c r="H18" s="29">
        <v>0</v>
      </c>
      <c r="I18" s="29">
        <v>1725981511</v>
      </c>
      <c r="J18" s="29">
        <v>1268047061.8699999</v>
      </c>
      <c r="K18" s="29">
        <v>1268047061.8699999</v>
      </c>
      <c r="L18" s="30">
        <v>-457934449.13000011</v>
      </c>
    </row>
    <row r="19" spans="1:12" x14ac:dyDescent="0.25">
      <c r="A19" s="17"/>
      <c r="B19" s="27"/>
      <c r="C19" s="27"/>
      <c r="D19" s="31" t="s">
        <v>41</v>
      </c>
      <c r="E19" s="27"/>
      <c r="F19" s="6"/>
      <c r="G19" s="29">
        <v>0</v>
      </c>
      <c r="H19" s="29">
        <v>0</v>
      </c>
      <c r="I19" s="29">
        <v>0</v>
      </c>
      <c r="J19" s="29">
        <v>60</v>
      </c>
      <c r="K19" s="29">
        <v>60</v>
      </c>
      <c r="L19" s="30">
        <v>60</v>
      </c>
    </row>
    <row r="20" spans="1:12" x14ac:dyDescent="0.25">
      <c r="A20" s="17"/>
      <c r="B20" s="27"/>
      <c r="C20" s="27"/>
      <c r="D20" s="31" t="s">
        <v>30</v>
      </c>
      <c r="E20" s="27"/>
      <c r="F20" s="6"/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0">
        <v>0</v>
      </c>
    </row>
    <row r="21" spans="1:12" x14ac:dyDescent="0.25">
      <c r="A21" s="17"/>
      <c r="B21" s="27"/>
      <c r="C21" s="27"/>
      <c r="D21" s="26"/>
      <c r="E21" s="27"/>
      <c r="F21" s="6"/>
      <c r="G21" s="29"/>
      <c r="H21" s="29"/>
      <c r="I21" s="29"/>
      <c r="J21" s="29"/>
      <c r="K21" s="29"/>
      <c r="L21" s="30"/>
    </row>
    <row r="22" spans="1:12" x14ac:dyDescent="0.25">
      <c r="A22" s="17"/>
      <c r="B22" s="27" t="s">
        <v>18</v>
      </c>
      <c r="C22" s="27"/>
      <c r="D22" s="27"/>
      <c r="E22" s="27"/>
      <c r="F22" s="6">
        <v>5</v>
      </c>
      <c r="G22" s="29">
        <v>45792731</v>
      </c>
      <c r="H22" s="29">
        <v>0</v>
      </c>
      <c r="I22" s="29">
        <v>45792731</v>
      </c>
      <c r="J22" s="29">
        <v>104307879.06999999</v>
      </c>
      <c r="K22" s="29">
        <v>104307879.06999999</v>
      </c>
      <c r="L22" s="29">
        <v>58515148.069999993</v>
      </c>
    </row>
    <row r="23" spans="1:12" x14ac:dyDescent="0.25">
      <c r="A23" s="17"/>
      <c r="B23" s="27"/>
      <c r="C23" s="27" t="s">
        <v>19</v>
      </c>
      <c r="D23" s="27"/>
      <c r="E23" s="27"/>
      <c r="F23" s="6">
        <v>51</v>
      </c>
      <c r="G23" s="29">
        <v>39003916</v>
      </c>
      <c r="H23" s="29">
        <v>0</v>
      </c>
      <c r="I23" s="29">
        <v>39003916</v>
      </c>
      <c r="J23" s="29">
        <v>72230553.409999996</v>
      </c>
      <c r="K23" s="29">
        <v>72230553.409999996</v>
      </c>
      <c r="L23" s="29">
        <v>33226637.409999996</v>
      </c>
    </row>
    <row r="24" spans="1:12" x14ac:dyDescent="0.25">
      <c r="A24" s="17"/>
      <c r="B24" s="27"/>
      <c r="C24" s="27"/>
      <c r="D24" s="26" t="s">
        <v>29</v>
      </c>
      <c r="E24" s="27"/>
      <c r="F24" s="6"/>
      <c r="G24" s="29">
        <v>22337308</v>
      </c>
      <c r="H24" s="29">
        <v>0</v>
      </c>
      <c r="I24" s="29">
        <v>22337308</v>
      </c>
      <c r="J24" s="29">
        <v>43274752.140000001</v>
      </c>
      <c r="K24" s="29">
        <v>43274752.140000001</v>
      </c>
      <c r="L24" s="30">
        <v>20937444.140000001</v>
      </c>
    </row>
    <row r="25" spans="1:12" x14ac:dyDescent="0.25">
      <c r="A25" s="17"/>
      <c r="B25" s="27"/>
      <c r="C25" s="27"/>
      <c r="D25" s="31" t="s">
        <v>38</v>
      </c>
      <c r="E25" s="27"/>
      <c r="F25" s="6"/>
      <c r="G25" s="29">
        <v>16550884</v>
      </c>
      <c r="H25" s="29">
        <v>0</v>
      </c>
      <c r="I25" s="29">
        <v>16550884</v>
      </c>
      <c r="J25" s="29">
        <v>12252587.73</v>
      </c>
      <c r="K25" s="29">
        <v>12252587.73</v>
      </c>
      <c r="L25" s="30">
        <v>-4298296.2699999996</v>
      </c>
    </row>
    <row r="26" spans="1:12" x14ac:dyDescent="0.25">
      <c r="A26" s="17"/>
      <c r="B26" s="27"/>
      <c r="C26" s="27"/>
      <c r="D26" s="31" t="s">
        <v>68</v>
      </c>
      <c r="E26" s="27"/>
      <c r="F26" s="6"/>
      <c r="G26" s="29">
        <v>0</v>
      </c>
      <c r="H26" s="29">
        <v>0</v>
      </c>
      <c r="I26" s="29">
        <v>0</v>
      </c>
      <c r="J26" s="29">
        <v>184267.4</v>
      </c>
      <c r="K26" s="29">
        <v>184267.4</v>
      </c>
      <c r="L26" s="30">
        <v>184267.4</v>
      </c>
    </row>
    <row r="27" spans="1:12" x14ac:dyDescent="0.25">
      <c r="A27" s="17"/>
      <c r="B27" s="27"/>
      <c r="C27" s="27"/>
      <c r="D27" s="31" t="s">
        <v>30</v>
      </c>
      <c r="E27" s="27"/>
      <c r="F27" s="6"/>
      <c r="G27" s="29">
        <v>283</v>
      </c>
      <c r="H27" s="29">
        <v>0</v>
      </c>
      <c r="I27" s="29">
        <v>283</v>
      </c>
      <c r="J27" s="29">
        <v>16490443.99</v>
      </c>
      <c r="K27" s="29">
        <v>16490443.99</v>
      </c>
      <c r="L27" s="30">
        <v>16490160.99</v>
      </c>
    </row>
    <row r="28" spans="1:12" x14ac:dyDescent="0.25">
      <c r="A28" s="17"/>
      <c r="B28" s="27"/>
      <c r="C28" s="27"/>
      <c r="D28" s="31" t="s">
        <v>31</v>
      </c>
      <c r="E28" s="27"/>
      <c r="F28" s="6"/>
      <c r="G28" s="29">
        <v>104291</v>
      </c>
      <c r="H28" s="29">
        <v>0</v>
      </c>
      <c r="I28" s="29">
        <v>104291</v>
      </c>
      <c r="J28" s="29">
        <v>21168.83</v>
      </c>
      <c r="K28" s="29">
        <v>21168.83</v>
      </c>
      <c r="L28" s="30">
        <v>-83122.17</v>
      </c>
    </row>
    <row r="29" spans="1:12" x14ac:dyDescent="0.25">
      <c r="A29" s="17"/>
      <c r="B29" s="27"/>
      <c r="C29" s="27"/>
      <c r="D29" s="31" t="s">
        <v>40</v>
      </c>
      <c r="E29" s="27"/>
      <c r="F29" s="6"/>
      <c r="G29" s="29">
        <v>11150</v>
      </c>
      <c r="H29" s="29">
        <v>0</v>
      </c>
      <c r="I29" s="29">
        <v>11150</v>
      </c>
      <c r="J29" s="29">
        <v>7333.32</v>
      </c>
      <c r="K29" s="29">
        <v>7333.32</v>
      </c>
      <c r="L29" s="30">
        <v>-3816.6800000000003</v>
      </c>
    </row>
    <row r="30" spans="1:12" x14ac:dyDescent="0.25">
      <c r="A30" s="17"/>
      <c r="B30" s="27"/>
      <c r="C30" s="27" t="s">
        <v>20</v>
      </c>
      <c r="D30" s="27"/>
      <c r="E30" s="27"/>
      <c r="F30" s="6">
        <v>52</v>
      </c>
      <c r="G30" s="29">
        <v>6788815</v>
      </c>
      <c r="H30" s="29">
        <v>0</v>
      </c>
      <c r="I30" s="29">
        <v>6788815</v>
      </c>
      <c r="J30" s="29">
        <v>32077325.66</v>
      </c>
      <c r="K30" s="29">
        <v>32077325.66</v>
      </c>
      <c r="L30" s="29">
        <v>25288510.66</v>
      </c>
    </row>
    <row r="31" spans="1:12" x14ac:dyDescent="0.25">
      <c r="A31" s="17"/>
      <c r="B31" s="27"/>
      <c r="C31" s="27"/>
      <c r="D31" s="26" t="s">
        <v>29</v>
      </c>
      <c r="E31" s="27"/>
      <c r="F31" s="6"/>
      <c r="G31" s="29">
        <v>6788815</v>
      </c>
      <c r="H31" s="29">
        <v>0</v>
      </c>
      <c r="I31" s="29">
        <v>6788815</v>
      </c>
      <c r="J31" s="29">
        <v>32077325.66</v>
      </c>
      <c r="K31" s="29">
        <v>32077325.66</v>
      </c>
      <c r="L31" s="30">
        <v>25288510.66</v>
      </c>
    </row>
    <row r="32" spans="1:12" x14ac:dyDescent="0.25">
      <c r="A32" s="17"/>
      <c r="B32" s="27"/>
      <c r="C32" s="27"/>
      <c r="D32" s="26"/>
      <c r="E32" s="27"/>
      <c r="F32" s="6"/>
      <c r="G32" s="29"/>
      <c r="H32" s="29"/>
      <c r="I32" s="29"/>
      <c r="J32" s="29"/>
      <c r="K32" s="29"/>
      <c r="L32" s="30"/>
    </row>
    <row r="33" spans="1:12" x14ac:dyDescent="0.25">
      <c r="A33" s="17"/>
      <c r="B33" s="27" t="s">
        <v>21</v>
      </c>
      <c r="C33" s="27"/>
      <c r="D33" s="27"/>
      <c r="E33" s="27"/>
      <c r="F33" s="6">
        <v>6</v>
      </c>
      <c r="G33" s="29">
        <v>1961829144</v>
      </c>
      <c r="H33" s="29">
        <v>0</v>
      </c>
      <c r="I33" s="29">
        <v>1961829144</v>
      </c>
      <c r="J33" s="29">
        <v>1979903522.6000001</v>
      </c>
      <c r="K33" s="29">
        <v>1979903522.6000001</v>
      </c>
      <c r="L33" s="29">
        <v>18074378.600000124</v>
      </c>
    </row>
    <row r="34" spans="1:12" x14ac:dyDescent="0.25">
      <c r="A34" s="17"/>
      <c r="B34" s="27"/>
      <c r="C34" s="27" t="s">
        <v>19</v>
      </c>
      <c r="D34" s="27"/>
      <c r="E34" s="27"/>
      <c r="F34" s="6">
        <v>61</v>
      </c>
      <c r="G34" s="29">
        <v>1960068474</v>
      </c>
      <c r="H34" s="29">
        <v>0</v>
      </c>
      <c r="I34" s="29">
        <v>1960068474</v>
      </c>
      <c r="J34" s="29">
        <v>1978926873.4400001</v>
      </c>
      <c r="K34" s="29">
        <v>1978926873.4400001</v>
      </c>
      <c r="L34" s="29">
        <v>18858399.440000124</v>
      </c>
    </row>
    <row r="35" spans="1:12" x14ac:dyDescent="0.25">
      <c r="A35" s="17"/>
      <c r="B35" s="27"/>
      <c r="C35" s="27"/>
      <c r="D35" s="26" t="s">
        <v>29</v>
      </c>
      <c r="E35" s="27"/>
      <c r="F35" s="6"/>
      <c r="G35" s="29">
        <v>1929859665</v>
      </c>
      <c r="H35" s="29">
        <v>0</v>
      </c>
      <c r="I35" s="29">
        <v>1929859665</v>
      </c>
      <c r="J35" s="29">
        <v>1964812422.8700001</v>
      </c>
      <c r="K35" s="29">
        <v>1964812422.8700001</v>
      </c>
      <c r="L35" s="30">
        <v>34952757.870000124</v>
      </c>
    </row>
    <row r="36" spans="1:12" x14ac:dyDescent="0.25">
      <c r="A36" s="17"/>
      <c r="B36" s="27"/>
      <c r="C36" s="27"/>
      <c r="D36" s="31" t="s">
        <v>38</v>
      </c>
      <c r="E36" s="27"/>
      <c r="F36" s="6"/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0">
        <v>0</v>
      </c>
    </row>
    <row r="37" spans="1:12" x14ac:dyDescent="0.25">
      <c r="A37" s="17"/>
      <c r="B37" s="27"/>
      <c r="C37" s="27"/>
      <c r="D37" s="26" t="s">
        <v>30</v>
      </c>
      <c r="E37" s="27"/>
      <c r="F37" s="6"/>
      <c r="G37" s="29">
        <v>30208809</v>
      </c>
      <c r="H37" s="29">
        <v>0</v>
      </c>
      <c r="I37" s="29">
        <v>30208809</v>
      </c>
      <c r="J37" s="29">
        <v>14114450.57</v>
      </c>
      <c r="K37" s="29">
        <v>14114450.57</v>
      </c>
      <c r="L37" s="30">
        <v>-16094358.43</v>
      </c>
    </row>
    <row r="38" spans="1:12" x14ac:dyDescent="0.25">
      <c r="A38" s="17"/>
      <c r="B38" s="27"/>
      <c r="C38" s="27" t="s">
        <v>20</v>
      </c>
      <c r="D38" s="27"/>
      <c r="E38" s="27"/>
      <c r="F38" s="6">
        <v>69</v>
      </c>
      <c r="G38" s="29">
        <v>1760670</v>
      </c>
      <c r="H38" s="29">
        <v>0</v>
      </c>
      <c r="I38" s="29">
        <v>1760670</v>
      </c>
      <c r="J38" s="29">
        <v>976649.16</v>
      </c>
      <c r="K38" s="29">
        <v>976649.16</v>
      </c>
      <c r="L38" s="29">
        <v>-784020.84</v>
      </c>
    </row>
    <row r="39" spans="1:12" x14ac:dyDescent="0.25">
      <c r="A39" s="17"/>
      <c r="B39" s="27"/>
      <c r="C39" s="27"/>
      <c r="D39" s="26" t="s">
        <v>29</v>
      </c>
      <c r="E39" s="27"/>
      <c r="F39" s="6"/>
      <c r="G39" s="29">
        <v>1760670</v>
      </c>
      <c r="H39" s="29">
        <v>0</v>
      </c>
      <c r="I39" s="29">
        <v>1760670</v>
      </c>
      <c r="J39" s="29">
        <v>976649.16</v>
      </c>
      <c r="K39" s="29">
        <v>976649.16</v>
      </c>
      <c r="L39" s="30">
        <v>-784020.84</v>
      </c>
    </row>
    <row r="40" spans="1:12" x14ac:dyDescent="0.25">
      <c r="A40" s="17"/>
      <c r="B40" s="27"/>
      <c r="C40" s="27"/>
      <c r="D40" s="26"/>
      <c r="E40" s="27"/>
      <c r="F40" s="6"/>
      <c r="G40" s="29"/>
      <c r="H40" s="29"/>
      <c r="I40" s="29"/>
      <c r="J40" s="29"/>
      <c r="K40" s="29"/>
      <c r="L40" s="30"/>
    </row>
    <row r="41" spans="1:12" x14ac:dyDescent="0.25">
      <c r="A41" s="17"/>
      <c r="B41" s="27" t="s">
        <v>22</v>
      </c>
      <c r="C41" s="27"/>
      <c r="D41" s="27"/>
      <c r="E41" s="27"/>
      <c r="F41" s="6">
        <v>8</v>
      </c>
      <c r="G41" s="29">
        <v>34974309022</v>
      </c>
      <c r="H41" s="29">
        <v>3598068186.3300004</v>
      </c>
      <c r="I41" s="29">
        <v>38572377208.330002</v>
      </c>
      <c r="J41" s="29">
        <v>30376021531.349998</v>
      </c>
      <c r="K41" s="29">
        <v>30376021531.349998</v>
      </c>
      <c r="L41" s="29">
        <v>-4598287490.6500006</v>
      </c>
    </row>
    <row r="42" spans="1:12" x14ac:dyDescent="0.25">
      <c r="A42" s="17"/>
      <c r="B42" s="27"/>
      <c r="C42" s="27"/>
      <c r="D42" s="26" t="s">
        <v>29</v>
      </c>
      <c r="E42" s="27"/>
      <c r="F42" s="6"/>
      <c r="G42" s="29">
        <v>5131973464</v>
      </c>
      <c r="H42" s="29">
        <v>1707.7</v>
      </c>
      <c r="I42" s="29">
        <v>5131975171.6999998</v>
      </c>
      <c r="J42" s="29">
        <v>3638168507.0999999</v>
      </c>
      <c r="K42" s="29">
        <v>3638168507.0999999</v>
      </c>
      <c r="L42" s="30">
        <v>-1493804956.9000001</v>
      </c>
    </row>
    <row r="43" spans="1:12" x14ac:dyDescent="0.25">
      <c r="A43" s="17"/>
      <c r="B43" s="27"/>
      <c r="C43" s="27"/>
      <c r="D43" s="31" t="s">
        <v>38</v>
      </c>
      <c r="E43" s="27"/>
      <c r="F43" s="6"/>
      <c r="G43" s="29">
        <v>8092269370</v>
      </c>
      <c r="H43" s="29">
        <v>0</v>
      </c>
      <c r="I43" s="29">
        <v>8092269370</v>
      </c>
      <c r="J43" s="29">
        <v>4839607767.7799997</v>
      </c>
      <c r="K43" s="29">
        <v>4839607767.7799997</v>
      </c>
      <c r="L43" s="30">
        <v>-3252661602.2200003</v>
      </c>
    </row>
    <row r="44" spans="1:12" x14ac:dyDescent="0.25">
      <c r="A44" s="17"/>
      <c r="B44" s="27"/>
      <c r="C44" s="27"/>
      <c r="D44" s="31" t="s">
        <v>68</v>
      </c>
      <c r="E44" s="27"/>
      <c r="F44" s="6"/>
      <c r="G44" s="29">
        <v>0</v>
      </c>
      <c r="H44" s="29">
        <v>10.31</v>
      </c>
      <c r="I44" s="29">
        <v>10.31</v>
      </c>
      <c r="J44" s="29">
        <v>10.31</v>
      </c>
      <c r="K44" s="29">
        <v>10.31</v>
      </c>
      <c r="L44" s="30">
        <v>10.31</v>
      </c>
    </row>
    <row r="45" spans="1:12" x14ac:dyDescent="0.25">
      <c r="A45" s="17"/>
      <c r="B45" s="27"/>
      <c r="C45" s="27"/>
      <c r="D45" s="26" t="s">
        <v>30</v>
      </c>
      <c r="E45" s="27"/>
      <c r="F45" s="6"/>
      <c r="G45" s="29">
        <v>20941480836</v>
      </c>
      <c r="H45" s="29">
        <v>3598066468.3200002</v>
      </c>
      <c r="I45" s="29">
        <v>24539547304.32</v>
      </c>
      <c r="J45" s="29">
        <v>21234858785.16</v>
      </c>
      <c r="K45" s="29">
        <v>21234858785.16</v>
      </c>
      <c r="L45" s="30">
        <v>293377949.15999985</v>
      </c>
    </row>
    <row r="46" spans="1:12" x14ac:dyDescent="0.25">
      <c r="A46" s="17"/>
      <c r="B46" s="27"/>
      <c r="C46" s="27"/>
      <c r="D46" s="26" t="s">
        <v>31</v>
      </c>
      <c r="E46" s="27"/>
      <c r="F46" s="6"/>
      <c r="G46" s="29">
        <v>808585352</v>
      </c>
      <c r="H46" s="29">
        <v>0</v>
      </c>
      <c r="I46" s="29">
        <v>808585352</v>
      </c>
      <c r="J46" s="29">
        <v>663386461</v>
      </c>
      <c r="K46" s="29">
        <v>663386461</v>
      </c>
      <c r="L46" s="30">
        <v>-145198891</v>
      </c>
    </row>
    <row r="47" spans="1:12" x14ac:dyDescent="0.25">
      <c r="A47" s="17"/>
      <c r="B47" s="27"/>
      <c r="C47" s="27"/>
      <c r="D47" s="31" t="s">
        <v>40</v>
      </c>
      <c r="E47" s="27"/>
      <c r="F47" s="6"/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0">
        <v>0</v>
      </c>
    </row>
    <row r="48" spans="1:12" x14ac:dyDescent="0.25">
      <c r="A48" s="17"/>
      <c r="B48" s="27"/>
      <c r="C48" s="27"/>
      <c r="D48" s="26"/>
      <c r="E48" s="27"/>
      <c r="F48" s="6"/>
      <c r="G48" s="29"/>
      <c r="H48" s="29"/>
      <c r="I48" s="29"/>
      <c r="J48" s="29"/>
      <c r="K48" s="29"/>
      <c r="L48" s="30"/>
    </row>
    <row r="49" spans="1:12" x14ac:dyDescent="0.25">
      <c r="A49" s="17"/>
      <c r="B49" s="27" t="s">
        <v>23</v>
      </c>
      <c r="C49" s="27"/>
      <c r="D49" s="27"/>
      <c r="E49" s="27"/>
      <c r="F49" s="6">
        <v>9</v>
      </c>
      <c r="G49" s="29">
        <v>3168127067</v>
      </c>
      <c r="H49" s="29">
        <v>0</v>
      </c>
      <c r="I49" s="29">
        <v>3168127067</v>
      </c>
      <c r="J49" s="29">
        <v>2519268385.3000002</v>
      </c>
      <c r="K49" s="29">
        <v>2519268385.3000002</v>
      </c>
      <c r="L49" s="29">
        <v>-648858681.69999981</v>
      </c>
    </row>
    <row r="50" spans="1:12" x14ac:dyDescent="0.25">
      <c r="A50" s="17"/>
      <c r="B50" s="27"/>
      <c r="C50" s="27"/>
      <c r="D50" s="26" t="s">
        <v>29</v>
      </c>
      <c r="E50" s="27"/>
      <c r="F50" s="6"/>
      <c r="G50" s="29">
        <v>86075000</v>
      </c>
      <c r="H50" s="29">
        <v>0</v>
      </c>
      <c r="I50" s="29">
        <v>86075000</v>
      </c>
      <c r="J50" s="29">
        <v>7386350</v>
      </c>
      <c r="K50" s="29">
        <v>7386350</v>
      </c>
      <c r="L50" s="30">
        <v>-78688650</v>
      </c>
    </row>
    <row r="51" spans="1:12" x14ac:dyDescent="0.25">
      <c r="A51" s="17"/>
      <c r="B51" s="27"/>
      <c r="C51" s="27"/>
      <c r="D51" s="26" t="s">
        <v>30</v>
      </c>
      <c r="E51" s="27"/>
      <c r="F51" s="6"/>
      <c r="G51" s="29">
        <v>3082052067</v>
      </c>
      <c r="H51" s="29">
        <v>0</v>
      </c>
      <c r="I51" s="29">
        <v>3082052067</v>
      </c>
      <c r="J51" s="29">
        <v>2511882035.3000002</v>
      </c>
      <c r="K51" s="29">
        <v>2511882035.3000002</v>
      </c>
      <c r="L51" s="30">
        <v>-570170031.69999981</v>
      </c>
    </row>
    <row r="52" spans="1:12" x14ac:dyDescent="0.25">
      <c r="A52" s="17"/>
      <c r="B52" s="27"/>
      <c r="C52" s="27"/>
      <c r="D52" s="26"/>
      <c r="E52" s="27"/>
      <c r="F52" s="6"/>
      <c r="G52" s="24"/>
      <c r="H52" s="24"/>
      <c r="I52" s="24"/>
      <c r="J52" s="24"/>
      <c r="K52" s="24"/>
      <c r="L52" s="30"/>
    </row>
    <row r="53" spans="1:12" x14ac:dyDescent="0.25">
      <c r="A53" s="28" t="s">
        <v>35</v>
      </c>
      <c r="B53" s="23"/>
      <c r="C53" s="27"/>
      <c r="D53" s="26"/>
      <c r="E53" s="27"/>
      <c r="F53" s="6"/>
      <c r="G53" s="24"/>
      <c r="H53" s="24"/>
      <c r="I53" s="24"/>
      <c r="J53" s="24"/>
      <c r="K53" s="24"/>
      <c r="L53" s="30"/>
    </row>
    <row r="54" spans="1:12" x14ac:dyDescent="0.25">
      <c r="A54" s="53"/>
      <c r="B54" s="26" t="s">
        <v>36</v>
      </c>
      <c r="C54" s="26"/>
      <c r="D54" s="26"/>
      <c r="E54" s="27"/>
      <c r="F54" s="6"/>
      <c r="G54" s="24"/>
      <c r="H54" s="24"/>
      <c r="I54" s="24"/>
      <c r="J54" s="24"/>
      <c r="K54" s="24"/>
      <c r="L54" s="30"/>
    </row>
    <row r="55" spans="1:12" x14ac:dyDescent="0.25">
      <c r="A55" s="53"/>
      <c r="B55" s="26" t="s">
        <v>37</v>
      </c>
      <c r="C55" s="26"/>
      <c r="D55" s="26"/>
      <c r="E55" s="27"/>
      <c r="F55" s="6"/>
      <c r="G55" s="24">
        <v>4788853</v>
      </c>
      <c r="H55" s="24">
        <v>0</v>
      </c>
      <c r="I55" s="24">
        <v>4788853</v>
      </c>
      <c r="J55" s="24">
        <v>4658759.4000000004</v>
      </c>
      <c r="K55" s="24">
        <v>4658759.4000000004</v>
      </c>
      <c r="L55" s="24">
        <v>-130093.59999999963</v>
      </c>
    </row>
    <row r="56" spans="1:12" x14ac:dyDescent="0.25">
      <c r="A56" s="53"/>
      <c r="B56" s="26"/>
      <c r="C56" s="26"/>
      <c r="D56" s="26" t="s">
        <v>29</v>
      </c>
      <c r="E56" s="27"/>
      <c r="F56" s="6"/>
      <c r="G56" s="24">
        <v>4788853</v>
      </c>
      <c r="H56" s="24">
        <v>0</v>
      </c>
      <c r="I56" s="24">
        <v>4788853</v>
      </c>
      <c r="J56" s="24">
        <v>4658759.4000000004</v>
      </c>
      <c r="K56" s="24">
        <v>4658759.4000000004</v>
      </c>
      <c r="L56" s="30">
        <v>-130093.59999999963</v>
      </c>
    </row>
    <row r="57" spans="1:12" x14ac:dyDescent="0.25">
      <c r="A57" s="53"/>
      <c r="B57" s="26"/>
      <c r="C57" s="26"/>
      <c r="D57" s="31" t="s">
        <v>30</v>
      </c>
      <c r="E57" s="27"/>
      <c r="F57" s="6"/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30">
        <v>0</v>
      </c>
    </row>
    <row r="58" spans="1:12" x14ac:dyDescent="0.25">
      <c r="A58" s="53"/>
      <c r="B58" s="26" t="s">
        <v>23</v>
      </c>
      <c r="C58" s="26"/>
      <c r="D58" s="26"/>
      <c r="E58" s="27"/>
      <c r="F58" s="6"/>
      <c r="G58" s="24">
        <v>7186770866</v>
      </c>
      <c r="H58" s="24">
        <v>0</v>
      </c>
      <c r="I58" s="24">
        <v>7186770866</v>
      </c>
      <c r="J58" s="24">
        <v>5493706037.1099997</v>
      </c>
      <c r="K58" s="24">
        <v>5493706037.1099997</v>
      </c>
      <c r="L58" s="30">
        <v>-1693064828.8900003</v>
      </c>
    </row>
    <row r="59" spans="1:12" x14ac:dyDescent="0.25">
      <c r="A59" s="17"/>
      <c r="B59" s="27"/>
      <c r="C59" s="27"/>
      <c r="D59" s="26"/>
      <c r="E59" s="27"/>
      <c r="F59" s="6"/>
      <c r="G59" s="24"/>
      <c r="H59" s="24"/>
      <c r="I59" s="24"/>
      <c r="J59" s="24"/>
      <c r="K59" s="24"/>
      <c r="L59" s="30"/>
    </row>
    <row r="60" spans="1:12" x14ac:dyDescent="0.25">
      <c r="A60" s="17"/>
      <c r="B60" s="27"/>
      <c r="C60" s="26"/>
      <c r="D60" s="27"/>
      <c r="E60" s="27"/>
      <c r="F60" s="6"/>
      <c r="G60" s="24"/>
      <c r="H60" s="24"/>
      <c r="I60" s="24"/>
      <c r="J60" s="24"/>
      <c r="K60" s="24"/>
      <c r="L60" s="30"/>
    </row>
    <row r="61" spans="1:12" x14ac:dyDescent="0.25">
      <c r="A61" s="28" t="s">
        <v>32</v>
      </c>
      <c r="B61" s="27"/>
      <c r="C61" s="27"/>
      <c r="D61" s="27"/>
      <c r="E61" s="27"/>
      <c r="F61" s="6"/>
      <c r="G61" s="24"/>
      <c r="H61" s="24"/>
      <c r="I61" s="24"/>
      <c r="J61" s="24"/>
      <c r="K61" s="24"/>
      <c r="L61" s="30"/>
    </row>
    <row r="62" spans="1:12" x14ac:dyDescent="0.25">
      <c r="A62" s="17"/>
      <c r="B62" s="27" t="s">
        <v>24</v>
      </c>
      <c r="C62" s="27"/>
      <c r="D62" s="27"/>
      <c r="E62" s="27"/>
      <c r="F62" s="6">
        <v>0</v>
      </c>
      <c r="G62" s="24">
        <v>4500000000</v>
      </c>
      <c r="H62" s="24">
        <v>0</v>
      </c>
      <c r="I62" s="24">
        <v>4500000000</v>
      </c>
      <c r="J62" s="24">
        <v>2584150842.1500001</v>
      </c>
      <c r="K62" s="24">
        <v>2584150842.1500001</v>
      </c>
      <c r="L62" s="24">
        <v>-1915849157.8499999</v>
      </c>
    </row>
    <row r="63" spans="1:12" x14ac:dyDescent="0.25">
      <c r="A63" s="4"/>
      <c r="B63" s="27"/>
      <c r="C63" s="27"/>
      <c r="D63" s="26" t="s">
        <v>33</v>
      </c>
      <c r="E63" s="27"/>
      <c r="F63" s="6"/>
      <c r="G63" s="24">
        <v>4500000000</v>
      </c>
      <c r="H63" s="24">
        <v>0</v>
      </c>
      <c r="I63" s="24">
        <v>4500000000</v>
      </c>
      <c r="J63" s="24">
        <v>2584150842.1500001</v>
      </c>
      <c r="K63" s="24">
        <v>2584150842.1500001</v>
      </c>
      <c r="L63" s="30">
        <v>-1915849157.8499999</v>
      </c>
    </row>
    <row r="64" spans="1:12" ht="15.75" thickBot="1" x14ac:dyDescent="0.3">
      <c r="A64" s="54"/>
      <c r="B64" s="55"/>
      <c r="C64" s="55"/>
      <c r="D64" s="55"/>
      <c r="E64" s="55"/>
      <c r="F64" s="56"/>
      <c r="G64" s="57"/>
      <c r="H64" s="57"/>
      <c r="I64" s="57"/>
      <c r="J64" s="57"/>
      <c r="K64" s="57"/>
      <c r="L64" s="58"/>
    </row>
    <row r="65" spans="1:12" ht="15.75" thickBot="1" x14ac:dyDescent="0.3">
      <c r="A65" s="299" t="s">
        <v>25</v>
      </c>
      <c r="B65" s="300"/>
      <c r="C65" s="300"/>
      <c r="D65" s="300"/>
      <c r="E65" s="300"/>
      <c r="F65" s="9"/>
      <c r="G65" s="10">
        <v>56451879944</v>
      </c>
      <c r="H65" s="10">
        <v>3598068186.3300004</v>
      </c>
      <c r="I65" s="10">
        <v>60049948130.330002</v>
      </c>
      <c r="J65" s="10">
        <v>46518459459.350006</v>
      </c>
      <c r="K65" s="10">
        <v>46518459459.350006</v>
      </c>
      <c r="L65" s="301">
        <v>0</v>
      </c>
    </row>
    <row r="66" spans="1:12" ht="18" thickBot="1" x14ac:dyDescent="0.3">
      <c r="A66" s="7"/>
      <c r="B66" s="7"/>
      <c r="C66" s="7"/>
      <c r="D66" s="7"/>
      <c r="E66" s="7"/>
      <c r="F66" s="11"/>
      <c r="G66" s="7"/>
      <c r="H66" s="7"/>
      <c r="I66" s="7"/>
      <c r="J66" s="299" t="s">
        <v>26</v>
      </c>
      <c r="K66" s="303"/>
      <c r="L66" s="302"/>
    </row>
    <row r="68" spans="1:12" x14ac:dyDescent="0.25">
      <c r="A68" s="304" t="s">
        <v>27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</row>
    <row r="69" spans="1:12" x14ac:dyDescent="0.25">
      <c r="A69" s="304"/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04"/>
    </row>
  </sheetData>
  <mergeCells count="11">
    <mergeCell ref="A65:E65"/>
    <mergeCell ref="L65:L66"/>
    <mergeCell ref="J66:K66"/>
    <mergeCell ref="A68:L69"/>
    <mergeCell ref="A3:L3"/>
    <mergeCell ref="A4:L4"/>
    <mergeCell ref="A5:L5"/>
    <mergeCell ref="A6:L6"/>
    <mergeCell ref="A7:E9"/>
    <mergeCell ref="F7:F9"/>
    <mergeCell ref="G7:K7"/>
  </mergeCells>
  <pageMargins left="0.7" right="0.7" top="0.75" bottom="0.75" header="0.3" footer="0.3"/>
  <pageSetup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2" workbookViewId="0">
      <selection activeCell="N17" sqref="N17"/>
    </sheetView>
  </sheetViews>
  <sheetFormatPr baseColWidth="10" defaultRowHeight="15" x14ac:dyDescent="0.25"/>
  <cols>
    <col min="1" max="1" width="46.5703125" style="12" customWidth="1"/>
    <col min="2" max="2" width="9.140625" style="12" bestFit="1" customWidth="1"/>
    <col min="3" max="3" width="1.85546875" style="12" customWidth="1"/>
    <col min="4" max="4" width="0" style="12" hidden="1" customWidth="1"/>
    <col min="5" max="5" width="1.5703125" style="12" customWidth="1"/>
    <col min="6" max="6" width="3.85546875" style="13" hidden="1" customWidth="1"/>
    <col min="7" max="7" width="17.42578125" style="12" bestFit="1" customWidth="1"/>
    <col min="8" max="8" width="16.42578125" style="12" bestFit="1" customWidth="1"/>
    <col min="9" max="11" width="17.42578125" style="12" bestFit="1" customWidth="1"/>
    <col min="12" max="12" width="18.140625" style="12" bestFit="1" customWidth="1"/>
    <col min="13" max="16384" width="11.42578125" style="12"/>
  </cols>
  <sheetData>
    <row r="1" spans="1:12" s="22" customFormat="1" hidden="1" x14ac:dyDescent="0.25">
      <c r="A1" s="21" t="s">
        <v>69</v>
      </c>
      <c r="C1" s="21" t="s">
        <v>72</v>
      </c>
      <c r="E1" s="21" t="s">
        <v>71</v>
      </c>
      <c r="F1" s="22" t="str">
        <f>IF(AND(LEN(E1)&gt;0,LEN(E1)&lt;=2),MID(E1,1,2),MID(E1,1,FIND(".",E1)-1))</f>
        <v>1</v>
      </c>
      <c r="G1" s="22" t="str">
        <f>IF(LEN(E1)&gt;2,MID(E1,FIND(".",E1)+2,2),0)</f>
        <v>9</v>
      </c>
      <c r="H1" s="22" t="str">
        <f>IF(F1="1","Enero",IF(F1="2","Febrero",IF(F1="3","Marzo",IF(F1="4","Abril",IF(F1="5","Mayo",IF(F1="6","Junio",IF(F1="7","Julio",IF(F1="8","Agosto",IF(F1="9","Septiembre",IF(F1="10","Octubre",IF(F1="11","Noviembre","Diciembre")))))))))))</f>
        <v>Enero</v>
      </c>
      <c r="I1" s="22" t="str">
        <f>IF(G1&lt;&gt;0,IF(G1="1","Enero",IF(G1="2","Febrero",IF(G1="3","Marzo",IF(G1="4","Abril",IF(G1="5","Mayo",IF(G1="6","Junio",IF(G1="7","Julio",IF(G1="8","Agosto",IF(G1="9","Septiembre",IF(G1="10","Octubre",IF(G1="11","Noviembre","Diciembre"))))))))))),0)</f>
        <v>Septiembre</v>
      </c>
      <c r="J1" s="22" t="str">
        <f>IF(OR(G1="13",G1="14",G1="15",G1="16"),12,G1)</f>
        <v>9</v>
      </c>
    </row>
    <row r="2" spans="1:12" ht="15.75" thickBot="1" x14ac:dyDescent="0.3"/>
    <row r="3" spans="1:12" ht="18.75" x14ac:dyDescent="0.3">
      <c r="A3" s="305" t="s"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7"/>
    </row>
    <row r="4" spans="1:12" ht="15.75" x14ac:dyDescent="0.25">
      <c r="A4" s="308" t="s">
        <v>73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10"/>
    </row>
    <row r="5" spans="1:12" ht="15.75" thickBot="1" x14ac:dyDescent="0.3">
      <c r="A5" s="311" t="str">
        <f>IF( G1=0,CONCATENATE(H1," del ",A1),CONCATENATE("Del ",1," de ", H1, " al ",DAY(EOMONTH(DATE(A1,J1,1),0))," de ",I1," del ",A1))</f>
        <v>Del 1 de Enero al 30 de Septiembre del 2017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3"/>
    </row>
    <row r="6" spans="1:12" ht="15.75" hidden="1" thickBot="1" x14ac:dyDescent="0.3">
      <c r="A6" s="314" t="str">
        <f>CONCATENATE("Elaborado el ",MID(C1,1,2), " de ",IF(MID(C1,4,2)="01","Enero",IF(MID(C1,4,2)="02","Febrero",IF(MID(C1,4,2)="03","Marzo",IF(MID(C1,4,2)="04","Abril",IF(MID(C1,4,2)="05","Mayo",IF(MID(C1,4,2)="06","Junio",IF(MID(C1,4,2)="07","Julio",IF(MID(C1,4,2)="08","Agosto",IF(MID(C1,4,2)="09","Septiembre",IF(MID(C1,4,2)="10","Octubre",IF(MID(C1,4,2)="11","Noviembre","Diciembre")))))))))))," del ",MID(C1,7,4))</f>
        <v>Elaborado el 20 de Julio del 2016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6"/>
    </row>
    <row r="7" spans="1:12" ht="15.75" thickBot="1" x14ac:dyDescent="0.3">
      <c r="A7" s="317" t="s">
        <v>1</v>
      </c>
      <c r="B7" s="318"/>
      <c r="C7" s="318"/>
      <c r="D7" s="318"/>
      <c r="E7" s="318"/>
      <c r="F7" s="321" t="s">
        <v>2</v>
      </c>
      <c r="G7" s="299" t="s">
        <v>3</v>
      </c>
      <c r="H7" s="300"/>
      <c r="I7" s="300"/>
      <c r="J7" s="300"/>
      <c r="K7" s="303"/>
      <c r="L7" s="1"/>
    </row>
    <row r="8" spans="1:12" ht="30.75" thickBot="1" x14ac:dyDescent="0.3">
      <c r="A8" s="311"/>
      <c r="B8" s="312"/>
      <c r="C8" s="312"/>
      <c r="D8" s="312"/>
      <c r="E8" s="312"/>
      <c r="F8" s="322"/>
      <c r="G8" s="49" t="s">
        <v>4</v>
      </c>
      <c r="H8" s="50" t="s">
        <v>5</v>
      </c>
      <c r="I8" s="49" t="s">
        <v>6</v>
      </c>
      <c r="J8" s="46" t="s">
        <v>7</v>
      </c>
      <c r="K8" s="49" t="s">
        <v>8</v>
      </c>
      <c r="L8" s="51" t="s">
        <v>9</v>
      </c>
    </row>
    <row r="9" spans="1:12" ht="15.75" thickBot="1" x14ac:dyDescent="0.3">
      <c r="A9" s="319"/>
      <c r="B9" s="320"/>
      <c r="C9" s="320"/>
      <c r="D9" s="320"/>
      <c r="E9" s="320"/>
      <c r="F9" s="323"/>
      <c r="G9" s="2" t="s">
        <v>10</v>
      </c>
      <c r="H9" s="3" t="s">
        <v>11</v>
      </c>
      <c r="I9" s="2" t="s">
        <v>12</v>
      </c>
      <c r="J9" s="3" t="s">
        <v>13</v>
      </c>
      <c r="K9" s="2" t="s">
        <v>14</v>
      </c>
      <c r="L9" s="52" t="s">
        <v>39</v>
      </c>
    </row>
    <row r="10" spans="1:12" x14ac:dyDescent="0.25">
      <c r="A10" s="4" t="s">
        <v>15</v>
      </c>
      <c r="B10" s="5"/>
      <c r="C10" s="5"/>
      <c r="D10" s="5"/>
      <c r="E10" s="5"/>
      <c r="F10" s="6">
        <v>1</v>
      </c>
      <c r="G10" s="24">
        <v>2884280750</v>
      </c>
      <c r="H10" s="24">
        <v>0</v>
      </c>
      <c r="I10" s="24">
        <v>2884280750</v>
      </c>
      <c r="J10" s="24">
        <v>2188395380.5</v>
      </c>
      <c r="K10" s="24">
        <v>2188395380.5</v>
      </c>
      <c r="L10" s="25">
        <v>-695885369.5</v>
      </c>
    </row>
    <row r="11" spans="1:12" x14ac:dyDescent="0.25">
      <c r="A11" s="4" t="s">
        <v>74</v>
      </c>
      <c r="B11" s="5"/>
      <c r="C11" s="5"/>
      <c r="D11" s="5"/>
      <c r="E11" s="5"/>
      <c r="F11" s="6">
        <v>2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5">
        <v>0</v>
      </c>
    </row>
    <row r="12" spans="1:12" x14ac:dyDescent="0.25">
      <c r="A12" s="4" t="s">
        <v>16</v>
      </c>
      <c r="B12" s="5"/>
      <c r="C12" s="5"/>
      <c r="D12" s="5"/>
      <c r="E12" s="5"/>
      <c r="F12" s="6">
        <v>3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</row>
    <row r="13" spans="1:12" x14ac:dyDescent="0.25">
      <c r="A13" s="4" t="s">
        <v>17</v>
      </c>
      <c r="B13" s="5"/>
      <c r="C13" s="5"/>
      <c r="D13" s="5"/>
      <c r="E13" s="5"/>
      <c r="F13" s="6">
        <v>4</v>
      </c>
      <c r="G13" s="24">
        <v>1725981511</v>
      </c>
      <c r="H13" s="24">
        <v>0</v>
      </c>
      <c r="I13" s="24">
        <v>1725981511</v>
      </c>
      <c r="J13" s="24">
        <v>1268047121.8699999</v>
      </c>
      <c r="K13" s="24">
        <v>1268047121.8699999</v>
      </c>
      <c r="L13" s="25">
        <v>-457934389.13000011</v>
      </c>
    </row>
    <row r="14" spans="1:12" x14ac:dyDescent="0.25">
      <c r="A14" s="4" t="s">
        <v>18</v>
      </c>
      <c r="B14" s="5"/>
      <c r="C14" s="5"/>
      <c r="D14" s="5"/>
      <c r="E14" s="5"/>
      <c r="F14" s="6">
        <v>5</v>
      </c>
      <c r="G14" s="24">
        <v>45792731</v>
      </c>
      <c r="H14" s="24">
        <v>0</v>
      </c>
      <c r="I14" s="24">
        <v>45792731</v>
      </c>
      <c r="J14" s="24">
        <v>104307879.06999999</v>
      </c>
      <c r="K14" s="24">
        <v>104307879.06999999</v>
      </c>
      <c r="L14" s="24">
        <v>58515148.069999993</v>
      </c>
    </row>
    <row r="15" spans="1:12" x14ac:dyDescent="0.25">
      <c r="A15" s="4"/>
      <c r="B15" s="5" t="s">
        <v>19</v>
      </c>
      <c r="C15" s="7"/>
      <c r="D15" s="7"/>
      <c r="E15" s="7"/>
      <c r="F15" s="8">
        <v>51</v>
      </c>
      <c r="G15" s="24">
        <v>39003916</v>
      </c>
      <c r="H15" s="24">
        <v>0</v>
      </c>
      <c r="I15" s="24">
        <v>39003916</v>
      </c>
      <c r="J15" s="24">
        <v>72230553.409999996</v>
      </c>
      <c r="K15" s="24">
        <v>72230553.409999996</v>
      </c>
      <c r="L15" s="25">
        <v>33226637.409999996</v>
      </c>
    </row>
    <row r="16" spans="1:12" x14ac:dyDescent="0.25">
      <c r="A16" s="4"/>
      <c r="B16" s="5" t="s">
        <v>20</v>
      </c>
      <c r="C16" s="7"/>
      <c r="D16" s="7"/>
      <c r="E16" s="7"/>
      <c r="F16" s="8">
        <v>52</v>
      </c>
      <c r="G16" s="24">
        <v>6788815</v>
      </c>
      <c r="H16" s="24">
        <v>0</v>
      </c>
      <c r="I16" s="24">
        <v>6788815</v>
      </c>
      <c r="J16" s="24">
        <v>32077325.66</v>
      </c>
      <c r="K16" s="24">
        <v>32077325.66</v>
      </c>
      <c r="L16" s="25">
        <v>25288510.66</v>
      </c>
    </row>
    <row r="17" spans="1:12" x14ac:dyDescent="0.25">
      <c r="A17" s="4" t="s">
        <v>21</v>
      </c>
      <c r="B17" s="5"/>
      <c r="C17" s="5"/>
      <c r="D17" s="5"/>
      <c r="E17" s="5"/>
      <c r="F17" s="6">
        <v>6</v>
      </c>
      <c r="G17" s="24">
        <v>1961829144</v>
      </c>
      <c r="H17" s="24">
        <v>0</v>
      </c>
      <c r="I17" s="24">
        <v>1961829144</v>
      </c>
      <c r="J17" s="24">
        <v>1979903522.6000001</v>
      </c>
      <c r="K17" s="24">
        <v>1979903522.6000001</v>
      </c>
      <c r="L17" s="24">
        <v>18074378.600000057</v>
      </c>
    </row>
    <row r="18" spans="1:12" x14ac:dyDescent="0.25">
      <c r="A18" s="4"/>
      <c r="B18" s="5" t="s">
        <v>19</v>
      </c>
      <c r="C18" s="7"/>
      <c r="D18" s="7"/>
      <c r="E18" s="7"/>
      <c r="F18" s="8">
        <v>61</v>
      </c>
      <c r="G18" s="24">
        <v>1960068474</v>
      </c>
      <c r="H18" s="24">
        <v>0</v>
      </c>
      <c r="I18" s="24">
        <v>1960068474</v>
      </c>
      <c r="J18" s="24">
        <v>1978926873.4400001</v>
      </c>
      <c r="K18" s="24">
        <v>1978926873.4400001</v>
      </c>
      <c r="L18" s="25">
        <v>18858399.440000057</v>
      </c>
    </row>
    <row r="19" spans="1:12" x14ac:dyDescent="0.25">
      <c r="A19" s="4"/>
      <c r="B19" s="5" t="s">
        <v>20</v>
      </c>
      <c r="C19" s="7"/>
      <c r="D19" s="7"/>
      <c r="E19" s="7"/>
      <c r="F19" s="8">
        <v>69</v>
      </c>
      <c r="G19" s="24">
        <v>1760670</v>
      </c>
      <c r="H19" s="24">
        <v>0</v>
      </c>
      <c r="I19" s="24">
        <v>1760670</v>
      </c>
      <c r="J19" s="24">
        <v>976649.16</v>
      </c>
      <c r="K19" s="24">
        <v>976649.16</v>
      </c>
      <c r="L19" s="25">
        <v>-784020.84</v>
      </c>
    </row>
    <row r="20" spans="1:12" x14ac:dyDescent="0.25">
      <c r="A20" s="4" t="s">
        <v>37</v>
      </c>
      <c r="B20" s="5"/>
      <c r="C20" s="5"/>
      <c r="D20" s="5"/>
      <c r="E20" s="5"/>
      <c r="F20" s="6">
        <v>7</v>
      </c>
      <c r="G20" s="24">
        <v>4788853</v>
      </c>
      <c r="H20" s="24">
        <v>0</v>
      </c>
      <c r="I20" s="24">
        <v>4788853</v>
      </c>
      <c r="J20" s="24">
        <v>4658759.4000000004</v>
      </c>
      <c r="K20" s="24">
        <v>4658759.4000000004</v>
      </c>
      <c r="L20" s="25">
        <v>-130093.59999999963</v>
      </c>
    </row>
    <row r="21" spans="1:12" x14ac:dyDescent="0.25">
      <c r="A21" s="4" t="s">
        <v>22</v>
      </c>
      <c r="B21" s="5"/>
      <c r="C21" s="5"/>
      <c r="D21" s="5"/>
      <c r="E21" s="5"/>
      <c r="F21" s="6">
        <v>8</v>
      </c>
      <c r="G21" s="24">
        <v>34974309022</v>
      </c>
      <c r="H21" s="24">
        <v>3598068186.3299999</v>
      </c>
      <c r="I21" s="24">
        <v>38572377208.330002</v>
      </c>
      <c r="J21" s="24">
        <v>30376021531.349998</v>
      </c>
      <c r="K21" s="24">
        <v>30376021531.349998</v>
      </c>
      <c r="L21" s="25">
        <v>-4598287490.6500015</v>
      </c>
    </row>
    <row r="22" spans="1:12" x14ac:dyDescent="0.25">
      <c r="A22" s="4" t="s">
        <v>23</v>
      </c>
      <c r="B22" s="5"/>
      <c r="C22" s="5"/>
      <c r="D22" s="5"/>
      <c r="E22" s="5"/>
      <c r="F22" s="6">
        <v>9</v>
      </c>
      <c r="G22" s="24">
        <v>10354897933</v>
      </c>
      <c r="H22" s="24">
        <v>0</v>
      </c>
      <c r="I22" s="24">
        <v>10354897933</v>
      </c>
      <c r="J22" s="24">
        <v>8012974422.4099998</v>
      </c>
      <c r="K22" s="24">
        <v>8012974422.4099998</v>
      </c>
      <c r="L22" s="25">
        <v>-2341923510.5900002</v>
      </c>
    </row>
    <row r="23" spans="1:12" ht="15.75" thickBot="1" x14ac:dyDescent="0.3">
      <c r="A23" s="4" t="s">
        <v>24</v>
      </c>
      <c r="B23" s="5"/>
      <c r="C23" s="5"/>
      <c r="D23" s="5"/>
      <c r="E23" s="5"/>
      <c r="F23" s="6">
        <v>0</v>
      </c>
      <c r="G23" s="24">
        <v>4500000000</v>
      </c>
      <c r="H23" s="24">
        <v>0</v>
      </c>
      <c r="I23" s="24">
        <v>4500000000</v>
      </c>
      <c r="J23" s="24">
        <v>2584150842.1500001</v>
      </c>
      <c r="K23" s="24">
        <v>2584150842.1500001</v>
      </c>
      <c r="L23" s="25">
        <v>-1915849157.8499999</v>
      </c>
    </row>
    <row r="24" spans="1:12" ht="15.75" thickBot="1" x14ac:dyDescent="0.3">
      <c r="A24" s="299" t="s">
        <v>25</v>
      </c>
      <c r="B24" s="300"/>
      <c r="C24" s="300"/>
      <c r="D24" s="300"/>
      <c r="E24" s="300"/>
      <c r="F24" s="9"/>
      <c r="G24" s="10">
        <v>56451879944</v>
      </c>
      <c r="H24" s="10">
        <v>3598068186.3299999</v>
      </c>
      <c r="I24" s="10">
        <v>60049948130.330002</v>
      </c>
      <c r="J24" s="10">
        <v>46518459459.349998</v>
      </c>
      <c r="K24" s="10">
        <v>46518459459.349998</v>
      </c>
      <c r="L24" s="301">
        <v>0</v>
      </c>
    </row>
    <row r="25" spans="1:12" ht="18" thickBot="1" x14ac:dyDescent="0.3">
      <c r="A25" s="7"/>
      <c r="B25" s="7"/>
      <c r="C25" s="7"/>
      <c r="D25" s="7"/>
      <c r="E25" s="7"/>
      <c r="F25" s="11"/>
      <c r="G25" s="7"/>
      <c r="H25" s="7"/>
      <c r="I25" s="7"/>
      <c r="J25" s="324" t="s">
        <v>26</v>
      </c>
      <c r="K25" s="325"/>
      <c r="L25" s="302">
        <v>-9203394363.3000011</v>
      </c>
    </row>
    <row r="27" spans="1:12" x14ac:dyDescent="0.25">
      <c r="A27" s="304" t="s">
        <v>27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</row>
    <row r="28" spans="1:12" x14ac:dyDescent="0.25">
      <c r="A28" s="304"/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</row>
  </sheetData>
  <mergeCells count="11">
    <mergeCell ref="A24:E24"/>
    <mergeCell ref="L24:L25"/>
    <mergeCell ref="J25:K25"/>
    <mergeCell ref="A27:L28"/>
    <mergeCell ref="A3:L3"/>
    <mergeCell ref="A4:L4"/>
    <mergeCell ref="A5:L5"/>
    <mergeCell ref="A6:L6"/>
    <mergeCell ref="A7:E9"/>
    <mergeCell ref="F7:F9"/>
    <mergeCell ref="G7:K7"/>
  </mergeCells>
  <pageMargins left="0.7" right="0.7" top="0.75" bottom="0.75" header="0.3" footer="0.3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40"/>
  <sheetViews>
    <sheetView workbookViewId="0">
      <selection activeCell="Q6" sqref="Q6"/>
    </sheetView>
  </sheetViews>
  <sheetFormatPr baseColWidth="10" defaultRowHeight="12.75" x14ac:dyDescent="0.2"/>
  <cols>
    <col min="1" max="1" width="47.42578125" style="59" customWidth="1"/>
    <col min="2" max="2" width="22.140625" style="61" customWidth="1"/>
    <col min="3" max="3" width="21.42578125" style="61" customWidth="1"/>
    <col min="4" max="4" width="18.5703125" style="61" customWidth="1"/>
    <col min="5" max="5" width="10.5703125" style="61" customWidth="1"/>
    <col min="6" max="16384" width="11.42578125" style="59"/>
  </cols>
  <sheetData>
    <row r="5" spans="1:5" x14ac:dyDescent="0.2">
      <c r="A5" s="326"/>
      <c r="B5" s="326"/>
      <c r="C5" s="326"/>
      <c r="D5" s="326"/>
      <c r="E5" s="326"/>
    </row>
    <row r="6" spans="1:5" x14ac:dyDescent="0.2">
      <c r="A6" s="326"/>
      <c r="B6" s="326"/>
      <c r="C6" s="326"/>
      <c r="D6" s="326"/>
      <c r="E6" s="326"/>
    </row>
    <row r="7" spans="1:5" x14ac:dyDescent="0.2">
      <c r="A7" s="326" t="s">
        <v>75</v>
      </c>
      <c r="B7" s="326"/>
      <c r="C7" s="326"/>
      <c r="D7" s="326"/>
      <c r="E7" s="326"/>
    </row>
    <row r="8" spans="1:5" x14ac:dyDescent="0.2">
      <c r="A8" s="60"/>
    </row>
    <row r="9" spans="1:5" x14ac:dyDescent="0.2">
      <c r="A9" s="326" t="s">
        <v>76</v>
      </c>
      <c r="B9" s="326"/>
      <c r="C9" s="326"/>
      <c r="D9" s="326"/>
      <c r="E9" s="326"/>
    </row>
    <row r="10" spans="1:5" ht="13.5" thickBot="1" x14ac:dyDescent="0.25">
      <c r="A10" s="60"/>
    </row>
    <row r="11" spans="1:5" ht="13.5" thickBot="1" x14ac:dyDescent="0.25">
      <c r="A11" s="62" t="s">
        <v>77</v>
      </c>
      <c r="B11" s="63" t="s">
        <v>78</v>
      </c>
      <c r="C11" s="63" t="s">
        <v>79</v>
      </c>
      <c r="D11" s="64" t="s">
        <v>80</v>
      </c>
      <c r="E11" s="64" t="s">
        <v>81</v>
      </c>
    </row>
    <row r="12" spans="1:5" x14ac:dyDescent="0.2">
      <c r="A12" s="65" t="s">
        <v>82</v>
      </c>
      <c r="B12" s="66">
        <f>ROUND(+B26,0)</f>
        <v>2884280750</v>
      </c>
      <c r="C12" s="66">
        <f t="shared" ref="C12:D12" si="0">ROUND(+C26,0)</f>
        <v>2188395381</v>
      </c>
      <c r="D12" s="66">
        <f t="shared" si="0"/>
        <v>-695885369</v>
      </c>
      <c r="E12" s="67">
        <f>+E26</f>
        <v>75.873175002121414</v>
      </c>
    </row>
    <row r="13" spans="1:5" x14ac:dyDescent="0.2">
      <c r="A13" s="65" t="s">
        <v>83</v>
      </c>
      <c r="B13" s="66">
        <f>ROUND(+B45,0)</f>
        <v>1725981511</v>
      </c>
      <c r="C13" s="66">
        <f t="shared" ref="C13:D13" si="1">ROUND(+C45,0)</f>
        <v>1268047122</v>
      </c>
      <c r="D13" s="66">
        <f t="shared" si="1"/>
        <v>-457934389</v>
      </c>
      <c r="E13" s="67">
        <f>+E45</f>
        <v>73.468175291479128</v>
      </c>
    </row>
    <row r="14" spans="1:5" x14ac:dyDescent="0.2">
      <c r="A14" s="65" t="s">
        <v>84</v>
      </c>
      <c r="B14" s="66">
        <f>ROUND(+B113,0)</f>
        <v>45792731</v>
      </c>
      <c r="C14" s="66">
        <f>ROUND(+C113,0)</f>
        <v>104307879</v>
      </c>
      <c r="D14" s="66">
        <f>ROUND(+D113,0)</f>
        <v>58515148</v>
      </c>
      <c r="E14" s="67">
        <f>+E113</f>
        <v>227.78261248493786</v>
      </c>
    </row>
    <row r="15" spans="1:5" ht="13.5" thickBot="1" x14ac:dyDescent="0.25">
      <c r="A15" s="65" t="s">
        <v>85</v>
      </c>
      <c r="B15" s="66">
        <f>ROUND(+B128,0)</f>
        <v>1961829144</v>
      </c>
      <c r="C15" s="66">
        <f>ROUND(+C128,0)</f>
        <v>1979903523</v>
      </c>
      <c r="D15" s="66">
        <f>ROUND(+D128,0)</f>
        <v>18074379</v>
      </c>
      <c r="E15" s="67">
        <f>+E128</f>
        <v>100.92130240063352</v>
      </c>
    </row>
    <row r="16" spans="1:5" ht="13.5" thickBot="1" x14ac:dyDescent="0.25">
      <c r="A16" s="68" t="s">
        <v>86</v>
      </c>
      <c r="B16" s="69">
        <f>ROUND(SUM(B12:B15),0)</f>
        <v>6617884136</v>
      </c>
      <c r="C16" s="69">
        <f t="shared" ref="C16:D16" si="2">ROUND(SUM(C12:C15),0)</f>
        <v>5540653905</v>
      </c>
      <c r="D16" s="69">
        <f t="shared" si="2"/>
        <v>-1077230231</v>
      </c>
      <c r="E16" s="70">
        <f>+C16/B16*100</f>
        <v>83.722437430717804</v>
      </c>
    </row>
    <row r="17" spans="1:5" x14ac:dyDescent="0.2">
      <c r="A17" s="71" t="s">
        <v>87</v>
      </c>
      <c r="B17" s="72">
        <f>ROUND(+B176,0)</f>
        <v>4788853</v>
      </c>
      <c r="C17" s="72">
        <f t="shared" ref="C17:D17" si="3">ROUND(+C176,0)</f>
        <v>4658759</v>
      </c>
      <c r="D17" s="72">
        <f t="shared" si="3"/>
        <v>-130094</v>
      </c>
      <c r="E17" s="73">
        <f>+E176</f>
        <v>97.283399594850792</v>
      </c>
    </row>
    <row r="18" spans="1:5" x14ac:dyDescent="0.2">
      <c r="A18" s="74" t="s">
        <v>88</v>
      </c>
      <c r="B18" s="72">
        <f>ROUND(+B181,0)</f>
        <v>34974309022</v>
      </c>
      <c r="C18" s="72">
        <f t="shared" ref="C18:D18" si="4">ROUND(+C181,0)</f>
        <v>30376021531</v>
      </c>
      <c r="D18" s="72">
        <f t="shared" si="4"/>
        <v>-4598287491</v>
      </c>
      <c r="E18" s="73">
        <f>+E181</f>
        <v>86.852385023225125</v>
      </c>
    </row>
    <row r="19" spans="1:5" ht="25.5" x14ac:dyDescent="0.2">
      <c r="A19" s="71" t="s">
        <v>89</v>
      </c>
      <c r="B19" s="72">
        <f>ROUND(+B221,0)</f>
        <v>10354897933</v>
      </c>
      <c r="C19" s="72">
        <f t="shared" ref="C19:D19" si="5">ROUND(+C221,0)</f>
        <v>8012974422</v>
      </c>
      <c r="D19" s="72">
        <f t="shared" si="5"/>
        <v>-2203567088</v>
      </c>
      <c r="E19" s="73">
        <f>+E221</f>
        <v>77.383422548893222</v>
      </c>
    </row>
    <row r="20" spans="1:5" ht="13.5" thickBot="1" x14ac:dyDescent="0.25">
      <c r="A20" s="75" t="s">
        <v>90</v>
      </c>
      <c r="B20" s="72">
        <f>ROUND(+B321,0)</f>
        <v>4500000000</v>
      </c>
      <c r="C20" s="72">
        <f>ROUND(+C321,0)</f>
        <v>2584150842</v>
      </c>
      <c r="D20" s="72">
        <f t="shared" ref="D20" si="6">ROUND(+D321,0)</f>
        <v>-1915849158</v>
      </c>
      <c r="E20" s="73">
        <f>+E321</f>
        <v>57.425574266666665</v>
      </c>
    </row>
    <row r="21" spans="1:5" ht="13.5" thickBot="1" x14ac:dyDescent="0.25">
      <c r="A21" s="68" t="s">
        <v>91</v>
      </c>
      <c r="B21" s="69">
        <f>ROUND(SUM(B16:B20),0)</f>
        <v>56451879944</v>
      </c>
      <c r="C21" s="69">
        <f>ROUND(SUM(C16:C20),0)</f>
        <v>46518459459</v>
      </c>
      <c r="D21" s="69">
        <f t="shared" ref="D21" si="7">ROUND(SUM(D16:D20),0)</f>
        <v>-9795064062</v>
      </c>
      <c r="E21" s="70">
        <f>+C21/B21*100</f>
        <v>82.403738378856644</v>
      </c>
    </row>
    <row r="22" spans="1:5" x14ac:dyDescent="0.2">
      <c r="A22" s="76"/>
      <c r="D22" s="77"/>
      <c r="E22" s="78"/>
    </row>
    <row r="23" spans="1:5" x14ac:dyDescent="0.2">
      <c r="B23" s="79"/>
      <c r="C23" s="79"/>
    </row>
    <row r="24" spans="1:5" ht="15.75" thickBot="1" x14ac:dyDescent="0.3">
      <c r="A24" s="60"/>
      <c r="B24" s="59"/>
      <c r="C24" s="80"/>
      <c r="E24" s="81"/>
    </row>
    <row r="25" spans="1:5" ht="13.5" customHeight="1" thickBot="1" x14ac:dyDescent="0.25">
      <c r="A25" s="62" t="s">
        <v>77</v>
      </c>
      <c r="B25" s="63" t="s">
        <v>78</v>
      </c>
      <c r="C25" s="63" t="s">
        <v>79</v>
      </c>
      <c r="D25" s="64" t="s">
        <v>80</v>
      </c>
      <c r="E25" s="64" t="s">
        <v>81</v>
      </c>
    </row>
    <row r="26" spans="1:5" x14ac:dyDescent="0.2">
      <c r="A26" s="82" t="s">
        <v>82</v>
      </c>
      <c r="B26" s="83">
        <f>ROUND(SUM(B27:B33)+SUM(B37:B41),0)</f>
        <v>2884280750</v>
      </c>
      <c r="C26" s="83">
        <f>ROUND(SUM(C27:C33)+SUM(C37:C41),0)</f>
        <v>2188395381</v>
      </c>
      <c r="D26" s="83">
        <f>ROUND(SUM(D27:D33)+SUM(D37:D41),0)</f>
        <v>-695885369</v>
      </c>
      <c r="E26" s="84">
        <f>+C26/B26*100</f>
        <v>75.873175002121414</v>
      </c>
    </row>
    <row r="27" spans="1:5" ht="25.5" x14ac:dyDescent="0.2">
      <c r="A27" s="85" t="s">
        <v>92</v>
      </c>
      <c r="B27" s="86">
        <v>87075556</v>
      </c>
      <c r="C27" s="87">
        <v>70314734</v>
      </c>
      <c r="D27" s="86">
        <f>+C27-B27</f>
        <v>-16760822</v>
      </c>
      <c r="E27" s="88">
        <f>+C27/B27*100</f>
        <v>80.751403987589811</v>
      </c>
    </row>
    <row r="28" spans="1:5" ht="25.5" x14ac:dyDescent="0.2">
      <c r="A28" s="89" t="s">
        <v>93</v>
      </c>
      <c r="B28" s="86">
        <v>93768840</v>
      </c>
      <c r="C28" s="87">
        <v>70539830</v>
      </c>
      <c r="D28" s="86">
        <f t="shared" ref="D28:D41" si="8">+C28-B28</f>
        <v>-23229010</v>
      </c>
      <c r="E28" s="88">
        <f t="shared" ref="E28:E40" si="9">+C28/B28*100</f>
        <v>75.227367641532098</v>
      </c>
    </row>
    <row r="29" spans="1:5" ht="25.5" x14ac:dyDescent="0.2">
      <c r="A29" s="85" t="s">
        <v>94</v>
      </c>
      <c r="B29" s="86">
        <v>10007475</v>
      </c>
      <c r="C29" s="87">
        <v>8797926</v>
      </c>
      <c r="D29" s="86">
        <f t="shared" si="8"/>
        <v>-1209549</v>
      </c>
      <c r="E29" s="88">
        <f t="shared" si="9"/>
        <v>87.913544625392518</v>
      </c>
    </row>
    <row r="30" spans="1:5" ht="25.5" x14ac:dyDescent="0.2">
      <c r="A30" s="85" t="s">
        <v>95</v>
      </c>
      <c r="B30" s="86">
        <v>20252041</v>
      </c>
      <c r="C30" s="87">
        <v>21925241</v>
      </c>
      <c r="D30" s="86">
        <f t="shared" si="8"/>
        <v>1673200</v>
      </c>
      <c r="E30" s="88">
        <f t="shared" si="9"/>
        <v>108.26188333314157</v>
      </c>
    </row>
    <row r="31" spans="1:5" x14ac:dyDescent="0.2">
      <c r="A31" s="85" t="s">
        <v>96</v>
      </c>
      <c r="B31" s="86">
        <v>40154765</v>
      </c>
      <c r="C31" s="87">
        <v>32079265</v>
      </c>
      <c r="D31" s="86">
        <f t="shared" si="8"/>
        <v>-8075500</v>
      </c>
      <c r="E31" s="88">
        <f t="shared" si="9"/>
        <v>79.88906173401837</v>
      </c>
    </row>
    <row r="32" spans="1:5" x14ac:dyDescent="0.2">
      <c r="A32" s="85" t="s">
        <v>97</v>
      </c>
      <c r="B32" s="86">
        <v>1266298369</v>
      </c>
      <c r="C32" s="87">
        <v>1028383451</v>
      </c>
      <c r="D32" s="86">
        <f t="shared" si="8"/>
        <v>-237914918</v>
      </c>
      <c r="E32" s="88">
        <f t="shared" si="9"/>
        <v>81.211780428345477</v>
      </c>
    </row>
    <row r="33" spans="1:5" x14ac:dyDescent="0.2">
      <c r="A33" s="90" t="s">
        <v>98</v>
      </c>
      <c r="B33" s="91">
        <f>ROUND(SUM(B34:B36),0)</f>
        <v>38331480</v>
      </c>
      <c r="C33" s="91">
        <f>SUM(C34:C36)</f>
        <v>35279817</v>
      </c>
      <c r="D33" s="91">
        <f t="shared" ref="D33" si="10">ROUND(SUM(D34:D36),0)</f>
        <v>-3051663</v>
      </c>
      <c r="E33" s="84">
        <f t="shared" si="9"/>
        <v>92.038755091115704</v>
      </c>
    </row>
    <row r="34" spans="1:5" x14ac:dyDescent="0.2">
      <c r="A34" s="89" t="s">
        <v>99</v>
      </c>
      <c r="B34" s="86">
        <v>22557574</v>
      </c>
      <c r="C34" s="87">
        <v>21084238</v>
      </c>
      <c r="D34" s="86">
        <f t="shared" si="8"/>
        <v>-1473336</v>
      </c>
      <c r="E34" s="88">
        <f t="shared" si="9"/>
        <v>93.468552956980204</v>
      </c>
    </row>
    <row r="35" spans="1:5" x14ac:dyDescent="0.2">
      <c r="A35" s="89" t="s">
        <v>100</v>
      </c>
      <c r="B35" s="86">
        <v>12242097</v>
      </c>
      <c r="C35" s="87">
        <v>11054889</v>
      </c>
      <c r="D35" s="86">
        <f t="shared" si="8"/>
        <v>-1187208</v>
      </c>
      <c r="E35" s="88">
        <f t="shared" si="9"/>
        <v>90.302249688104908</v>
      </c>
    </row>
    <row r="36" spans="1:5" x14ac:dyDescent="0.2">
      <c r="A36" s="89" t="s">
        <v>101</v>
      </c>
      <c r="B36" s="86">
        <v>3531809</v>
      </c>
      <c r="C36" s="87">
        <v>3140690</v>
      </c>
      <c r="D36" s="86">
        <f t="shared" si="8"/>
        <v>-391119</v>
      </c>
      <c r="E36" s="88">
        <f t="shared" si="9"/>
        <v>88.925816769819647</v>
      </c>
    </row>
    <row r="37" spans="1:5" ht="25.5" x14ac:dyDescent="0.2">
      <c r="A37" s="89" t="s">
        <v>102</v>
      </c>
      <c r="B37" s="86">
        <v>425470308</v>
      </c>
      <c r="C37" s="87">
        <v>291170958</v>
      </c>
      <c r="D37" s="86">
        <f t="shared" si="8"/>
        <v>-134299350</v>
      </c>
      <c r="E37" s="88">
        <f t="shared" si="9"/>
        <v>68.435082901249118</v>
      </c>
    </row>
    <row r="38" spans="1:5" ht="25.5" x14ac:dyDescent="0.2">
      <c r="A38" s="89" t="s">
        <v>103</v>
      </c>
      <c r="B38" s="86">
        <v>425470308</v>
      </c>
      <c r="C38" s="87">
        <v>293104674</v>
      </c>
      <c r="D38" s="86">
        <f t="shared" si="8"/>
        <v>-132365634</v>
      </c>
      <c r="E38" s="88">
        <f t="shared" si="9"/>
        <v>68.889571960448066</v>
      </c>
    </row>
    <row r="39" spans="1:5" ht="25.5" x14ac:dyDescent="0.2">
      <c r="A39" s="89" t="s">
        <v>104</v>
      </c>
      <c r="B39" s="86">
        <v>425470308</v>
      </c>
      <c r="C39" s="87">
        <v>292470268</v>
      </c>
      <c r="D39" s="86">
        <f t="shared" si="8"/>
        <v>-133000040</v>
      </c>
      <c r="E39" s="88">
        <f t="shared" si="9"/>
        <v>68.740464963303623</v>
      </c>
    </row>
    <row r="40" spans="1:5" ht="25.5" x14ac:dyDescent="0.2">
      <c r="A40" s="89" t="s">
        <v>105</v>
      </c>
      <c r="B40" s="86">
        <v>51981300</v>
      </c>
      <c r="C40" s="87">
        <v>44325541</v>
      </c>
      <c r="D40" s="86">
        <f t="shared" si="8"/>
        <v>-7655759</v>
      </c>
      <c r="E40" s="88">
        <f t="shared" si="9"/>
        <v>85.272090155498219</v>
      </c>
    </row>
    <row r="41" spans="1:5" ht="39" thickBot="1" x14ac:dyDescent="0.25">
      <c r="A41" s="92" t="s">
        <v>106</v>
      </c>
      <c r="B41" s="93">
        <v>0</v>
      </c>
      <c r="C41" s="94">
        <v>3676</v>
      </c>
      <c r="D41" s="93">
        <f t="shared" si="8"/>
        <v>3676</v>
      </c>
      <c r="E41" s="95">
        <v>0</v>
      </c>
    </row>
    <row r="42" spans="1:5" x14ac:dyDescent="0.2">
      <c r="A42" s="96"/>
      <c r="B42" s="97"/>
      <c r="C42" s="98"/>
      <c r="D42" s="97"/>
      <c r="E42" s="97"/>
    </row>
    <row r="43" spans="1:5" ht="6" customHeight="1" thickBot="1" x14ac:dyDescent="0.25">
      <c r="A43" s="99"/>
      <c r="B43" s="97"/>
      <c r="C43" s="98"/>
      <c r="D43" s="98"/>
      <c r="E43" s="97"/>
    </row>
    <row r="44" spans="1:5" ht="13.5" thickBot="1" x14ac:dyDescent="0.25">
      <c r="A44" s="62" t="s">
        <v>77</v>
      </c>
      <c r="B44" s="63" t="s">
        <v>78</v>
      </c>
      <c r="C44" s="63" t="s">
        <v>79</v>
      </c>
      <c r="D44" s="64" t="s">
        <v>80</v>
      </c>
      <c r="E44" s="64" t="s">
        <v>81</v>
      </c>
    </row>
    <row r="45" spans="1:5" x14ac:dyDescent="0.2">
      <c r="A45" s="82" t="s">
        <v>83</v>
      </c>
      <c r="B45" s="83">
        <f>ROUND((+B46+B49+B105+B109),0)</f>
        <v>1725981511</v>
      </c>
      <c r="C45" s="83">
        <f>ROUND((+C46+C49+C105+C109),0)</f>
        <v>1268047122</v>
      </c>
      <c r="D45" s="83">
        <f>ROUND((+D46+D49+D105+D109),0)</f>
        <v>-457934389</v>
      </c>
      <c r="E45" s="84">
        <f>+C45/B45*100</f>
        <v>73.468175291479128</v>
      </c>
    </row>
    <row r="46" spans="1:5" ht="25.5" x14ac:dyDescent="0.2">
      <c r="A46" s="90" t="s">
        <v>107</v>
      </c>
      <c r="B46" s="91">
        <f>ROUND((+B47+B48),0)</f>
        <v>4022516</v>
      </c>
      <c r="C46" s="91">
        <f t="shared" ref="C46:D46" si="11">ROUND((+C47+C48),0)</f>
        <v>1812071</v>
      </c>
      <c r="D46" s="91">
        <f t="shared" si="11"/>
        <v>-2210445</v>
      </c>
      <c r="E46" s="84">
        <f>+C46/B46*100</f>
        <v>45.048198689576374</v>
      </c>
    </row>
    <row r="47" spans="1:5" x14ac:dyDescent="0.2">
      <c r="A47" s="100" t="s">
        <v>108</v>
      </c>
      <c r="B47" s="86">
        <v>1754619</v>
      </c>
      <c r="C47" s="87">
        <v>974462</v>
      </c>
      <c r="D47" s="86">
        <f t="shared" ref="D47:D48" si="12">+C47-B47</f>
        <v>-780157</v>
      </c>
      <c r="E47" s="88">
        <f>+C47/B47*100</f>
        <v>55.536957025998234</v>
      </c>
    </row>
    <row r="48" spans="1:5" x14ac:dyDescent="0.2">
      <c r="A48" s="89" t="s">
        <v>109</v>
      </c>
      <c r="B48" s="86">
        <v>2267897</v>
      </c>
      <c r="C48" s="87">
        <v>837609</v>
      </c>
      <c r="D48" s="86">
        <f t="shared" si="12"/>
        <v>-1430288</v>
      </c>
      <c r="E48" s="88">
        <f t="shared" ref="E48:E58" si="13">+C48/B48*100</f>
        <v>36.93329106216023</v>
      </c>
    </row>
    <row r="49" spans="1:5" x14ac:dyDescent="0.2">
      <c r="A49" s="90" t="s">
        <v>110</v>
      </c>
      <c r="B49" s="83">
        <f>ROUND((B50+B55+B60+B64+B68+B69+B70+B74+B82+B87+B90+B94+B100+B101+B102+B103+B104),0)</f>
        <v>1659432337</v>
      </c>
      <c r="C49" s="83">
        <f>ROUND((C50+C55+C60+C64+C68+C69+C70+C74+C82+C87+C90+C94+C100+C101+C102+C103+C104),0)</f>
        <v>1220959273</v>
      </c>
      <c r="D49" s="83">
        <f>ROUND((D50+D55+D60+D64+D68+D69+D70+D74+D82+D87+D90+D94+D100+D101+D102+D103+D104),0)</f>
        <v>-438473064</v>
      </c>
      <c r="E49" s="84">
        <f t="shared" si="13"/>
        <v>73.576924215380046</v>
      </c>
    </row>
    <row r="50" spans="1:5" ht="26.25" customHeight="1" x14ac:dyDescent="0.2">
      <c r="A50" s="89" t="s">
        <v>111</v>
      </c>
      <c r="B50" s="83">
        <f>ROUND(SUM(B51:B54),0)</f>
        <v>236066788</v>
      </c>
      <c r="C50" s="83">
        <f>ROUND(SUM(C51:C54),0)</f>
        <v>205122955</v>
      </c>
      <c r="D50" s="83">
        <f>ROUND(SUM(D51:D54),0)</f>
        <v>-30943833</v>
      </c>
      <c r="E50" s="84">
        <f t="shared" si="13"/>
        <v>86.891915943720136</v>
      </c>
    </row>
    <row r="51" spans="1:5" ht="25.5" x14ac:dyDescent="0.2">
      <c r="A51" s="89" t="s">
        <v>112</v>
      </c>
      <c r="B51" s="87">
        <v>50950573</v>
      </c>
      <c r="C51" s="87">
        <v>33914359</v>
      </c>
      <c r="D51" s="86">
        <f t="shared" ref="D51:D54" si="14">+C51-B51</f>
        <v>-17036214</v>
      </c>
      <c r="E51" s="88">
        <f t="shared" si="13"/>
        <v>66.563253371066111</v>
      </c>
    </row>
    <row r="52" spans="1:5" ht="25.5" x14ac:dyDescent="0.2">
      <c r="A52" s="100" t="s">
        <v>113</v>
      </c>
      <c r="B52" s="87">
        <v>180662437</v>
      </c>
      <c r="C52" s="87">
        <v>166687267</v>
      </c>
      <c r="D52" s="86">
        <f t="shared" si="14"/>
        <v>-13975170</v>
      </c>
      <c r="E52" s="88">
        <f t="shared" si="13"/>
        <v>92.264484952120952</v>
      </c>
    </row>
    <row r="53" spans="1:5" ht="14.25" customHeight="1" x14ac:dyDescent="0.2">
      <c r="A53" s="100" t="s">
        <v>114</v>
      </c>
      <c r="B53" s="87">
        <v>2422603</v>
      </c>
      <c r="C53" s="87">
        <v>3155433</v>
      </c>
      <c r="D53" s="86">
        <f t="shared" si="14"/>
        <v>732830</v>
      </c>
      <c r="E53" s="88">
        <f t="shared" si="13"/>
        <v>130.24969423384681</v>
      </c>
    </row>
    <row r="54" spans="1:5" x14ac:dyDescent="0.2">
      <c r="A54" s="100" t="s">
        <v>115</v>
      </c>
      <c r="B54" s="87">
        <v>2031175</v>
      </c>
      <c r="C54" s="87">
        <v>1365896</v>
      </c>
      <c r="D54" s="86">
        <f t="shared" si="14"/>
        <v>-665279</v>
      </c>
      <c r="E54" s="88">
        <f t="shared" si="13"/>
        <v>67.246593720383515</v>
      </c>
    </row>
    <row r="55" spans="1:5" x14ac:dyDescent="0.2">
      <c r="A55" s="89" t="s">
        <v>116</v>
      </c>
      <c r="B55" s="83">
        <f>ROUND((+B56+B57+B58+B59),0)</f>
        <v>30504</v>
      </c>
      <c r="C55" s="83">
        <f t="shared" ref="C55:D55" si="15">ROUND((+C56+C57+C58+C59),0)</f>
        <v>21814</v>
      </c>
      <c r="D55" s="83">
        <f t="shared" si="15"/>
        <v>-8690</v>
      </c>
      <c r="E55" s="88">
        <f t="shared" si="13"/>
        <v>71.5119328612641</v>
      </c>
    </row>
    <row r="56" spans="1:5" x14ac:dyDescent="0.2">
      <c r="A56" s="100" t="s">
        <v>117</v>
      </c>
      <c r="B56" s="86">
        <v>0</v>
      </c>
      <c r="C56" s="87">
        <v>0</v>
      </c>
      <c r="D56" s="101">
        <v>0</v>
      </c>
      <c r="E56" s="88">
        <v>0</v>
      </c>
    </row>
    <row r="57" spans="1:5" x14ac:dyDescent="0.2">
      <c r="A57" s="89" t="s">
        <v>118</v>
      </c>
      <c r="B57" s="86">
        <v>0</v>
      </c>
      <c r="C57" s="87">
        <v>0</v>
      </c>
      <c r="D57" s="101">
        <v>0</v>
      </c>
      <c r="E57" s="88">
        <v>0</v>
      </c>
    </row>
    <row r="58" spans="1:5" x14ac:dyDescent="0.2">
      <c r="A58" s="89" t="s">
        <v>119</v>
      </c>
      <c r="B58" s="86">
        <v>30504</v>
      </c>
      <c r="C58" s="87">
        <v>21814</v>
      </c>
      <c r="D58" s="86">
        <f t="shared" ref="D58" si="16">+C58-B58</f>
        <v>-8690</v>
      </c>
      <c r="E58" s="88">
        <f t="shared" si="13"/>
        <v>71.5119328612641</v>
      </c>
    </row>
    <row r="59" spans="1:5" x14ac:dyDescent="0.2">
      <c r="A59" s="100" t="s">
        <v>120</v>
      </c>
      <c r="B59" s="86">
        <v>0</v>
      </c>
      <c r="C59" s="87">
        <v>0</v>
      </c>
      <c r="D59" s="101">
        <v>0</v>
      </c>
      <c r="E59" s="102">
        <v>0</v>
      </c>
    </row>
    <row r="60" spans="1:5" ht="38.25" x14ac:dyDescent="0.2">
      <c r="A60" s="89" t="s">
        <v>121</v>
      </c>
      <c r="B60" s="86">
        <v>0</v>
      </c>
      <c r="C60" s="87">
        <v>0</v>
      </c>
      <c r="D60" s="86">
        <v>0</v>
      </c>
      <c r="E60" s="102">
        <v>0</v>
      </c>
    </row>
    <row r="61" spans="1:5" x14ac:dyDescent="0.2">
      <c r="A61" s="89" t="s">
        <v>122</v>
      </c>
      <c r="B61" s="86">
        <v>0</v>
      </c>
      <c r="C61" s="87">
        <v>0</v>
      </c>
      <c r="D61" s="86">
        <v>0</v>
      </c>
      <c r="E61" s="102">
        <v>0</v>
      </c>
    </row>
    <row r="62" spans="1:5" ht="25.5" x14ac:dyDescent="0.2">
      <c r="A62" s="100" t="s">
        <v>123</v>
      </c>
      <c r="B62" s="86">
        <v>0</v>
      </c>
      <c r="C62" s="87">
        <v>0</v>
      </c>
      <c r="D62" s="86">
        <v>0</v>
      </c>
      <c r="E62" s="102">
        <v>0</v>
      </c>
    </row>
    <row r="63" spans="1:5" ht="25.5" x14ac:dyDescent="0.2">
      <c r="A63" s="89" t="s">
        <v>124</v>
      </c>
      <c r="B63" s="86">
        <v>0</v>
      </c>
      <c r="C63" s="87">
        <v>0</v>
      </c>
      <c r="D63" s="86">
        <v>0</v>
      </c>
      <c r="E63" s="102">
        <v>0</v>
      </c>
    </row>
    <row r="64" spans="1:5" ht="25.5" x14ac:dyDescent="0.2">
      <c r="A64" s="89" t="s">
        <v>125</v>
      </c>
      <c r="B64" s="83">
        <f>ROUND((+B65+B67+B66),0)</f>
        <v>1629173</v>
      </c>
      <c r="C64" s="83">
        <f t="shared" ref="C64:D64" si="17">ROUND((+C65+C67+C66),0)</f>
        <v>1088877</v>
      </c>
      <c r="D64" s="83">
        <f t="shared" si="17"/>
        <v>-540296</v>
      </c>
      <c r="E64" s="84">
        <f t="shared" ref="E64:E109" si="18">+C64/B64*100</f>
        <v>66.836180074184881</v>
      </c>
    </row>
    <row r="65" spans="1:5" ht="38.25" x14ac:dyDescent="0.2">
      <c r="A65" s="100" t="s">
        <v>126</v>
      </c>
      <c r="B65" s="86">
        <v>0</v>
      </c>
      <c r="C65" s="87">
        <v>0</v>
      </c>
      <c r="D65" s="86">
        <v>0</v>
      </c>
      <c r="E65" s="88">
        <v>0</v>
      </c>
    </row>
    <row r="66" spans="1:5" ht="25.5" x14ac:dyDescent="0.2">
      <c r="A66" s="89" t="s">
        <v>127</v>
      </c>
      <c r="B66" s="86">
        <v>1626755</v>
      </c>
      <c r="C66" s="87">
        <v>1086181</v>
      </c>
      <c r="D66" s="86">
        <f t="shared" ref="D66:D109" si="19">+C66-B66</f>
        <v>-540574</v>
      </c>
      <c r="E66" s="88">
        <f t="shared" si="18"/>
        <v>66.769796312290424</v>
      </c>
    </row>
    <row r="67" spans="1:5" ht="38.25" x14ac:dyDescent="0.2">
      <c r="A67" s="89" t="s">
        <v>128</v>
      </c>
      <c r="B67" s="86">
        <v>2418</v>
      </c>
      <c r="C67" s="87">
        <v>2696</v>
      </c>
      <c r="D67" s="86">
        <f t="shared" si="19"/>
        <v>278</v>
      </c>
      <c r="E67" s="88">
        <f t="shared" si="18"/>
        <v>111.49710504549215</v>
      </c>
    </row>
    <row r="68" spans="1:5" ht="25.5" x14ac:dyDescent="0.2">
      <c r="A68" s="100" t="s">
        <v>129</v>
      </c>
      <c r="B68" s="83">
        <v>2194775</v>
      </c>
      <c r="C68" s="91">
        <v>1322792</v>
      </c>
      <c r="D68" s="83">
        <f t="shared" si="19"/>
        <v>-871983</v>
      </c>
      <c r="E68" s="84">
        <f t="shared" si="18"/>
        <v>60.270050460753374</v>
      </c>
    </row>
    <row r="69" spans="1:5" x14ac:dyDescent="0.2">
      <c r="A69" s="89" t="s">
        <v>130</v>
      </c>
      <c r="B69" s="83">
        <v>63225</v>
      </c>
      <c r="C69" s="91">
        <v>94458</v>
      </c>
      <c r="D69" s="83">
        <f t="shared" si="19"/>
        <v>31233</v>
      </c>
      <c r="E69" s="84">
        <f t="shared" si="18"/>
        <v>149.3997627520759</v>
      </c>
    </row>
    <row r="70" spans="1:5" ht="25.5" x14ac:dyDescent="0.2">
      <c r="A70" s="89" t="s">
        <v>131</v>
      </c>
      <c r="B70" s="83">
        <f>ROUND((+B71+B72+B73),0)</f>
        <v>6671228</v>
      </c>
      <c r="C70" s="83">
        <f t="shared" ref="C70:D70" si="20">ROUND((+C71+C72+C73),0)</f>
        <v>4769959</v>
      </c>
      <c r="D70" s="83">
        <f t="shared" si="20"/>
        <v>-1901269</v>
      </c>
      <c r="E70" s="84">
        <f t="shared" si="18"/>
        <v>71.500464382269641</v>
      </c>
    </row>
    <row r="71" spans="1:5" x14ac:dyDescent="0.2">
      <c r="A71" s="100" t="s">
        <v>132</v>
      </c>
      <c r="B71" s="86">
        <v>6401302</v>
      </c>
      <c r="C71" s="87">
        <v>4570026</v>
      </c>
      <c r="D71" s="86">
        <f t="shared" si="19"/>
        <v>-1831276</v>
      </c>
      <c r="E71" s="88">
        <f t="shared" si="18"/>
        <v>71.392132413062214</v>
      </c>
    </row>
    <row r="72" spans="1:5" ht="25.5" x14ac:dyDescent="0.2">
      <c r="A72" s="89" t="s">
        <v>133</v>
      </c>
      <c r="B72" s="86">
        <v>258184</v>
      </c>
      <c r="C72" s="87">
        <v>193049</v>
      </c>
      <c r="D72" s="86">
        <f t="shared" si="19"/>
        <v>-65135</v>
      </c>
      <c r="E72" s="88">
        <f t="shared" si="18"/>
        <v>74.771868125058091</v>
      </c>
    </row>
    <row r="73" spans="1:5" x14ac:dyDescent="0.2">
      <c r="A73" s="89" t="s">
        <v>134</v>
      </c>
      <c r="B73" s="86">
        <v>11742</v>
      </c>
      <c r="C73" s="87">
        <v>6884</v>
      </c>
      <c r="D73" s="86">
        <f t="shared" si="19"/>
        <v>-4858</v>
      </c>
      <c r="E73" s="88">
        <f t="shared" si="18"/>
        <v>58.627150400272519</v>
      </c>
    </row>
    <row r="74" spans="1:5" ht="25.5" x14ac:dyDescent="0.2">
      <c r="A74" s="100" t="s">
        <v>135</v>
      </c>
      <c r="B74" s="91">
        <f>ROUND(SUM(B75:B81),0)</f>
        <v>1027493541</v>
      </c>
      <c r="C74" s="91">
        <f>ROUND(SUM(C75:C81),0)</f>
        <v>740723581</v>
      </c>
      <c r="D74" s="91">
        <f>ROUND(SUM(D75:D81),0)</f>
        <v>-286769960</v>
      </c>
      <c r="E74" s="84">
        <f t="shared" si="18"/>
        <v>72.090339398055647</v>
      </c>
    </row>
    <row r="75" spans="1:5" x14ac:dyDescent="0.2">
      <c r="A75" s="100" t="s">
        <v>136</v>
      </c>
      <c r="B75" s="87">
        <v>151410935</v>
      </c>
      <c r="C75" s="87">
        <v>99605824</v>
      </c>
      <c r="D75" s="86">
        <f t="shared" ref="D75:D81" si="21">+C75-B75</f>
        <v>-51805111</v>
      </c>
      <c r="E75" s="88">
        <f t="shared" si="18"/>
        <v>65.785092734550517</v>
      </c>
    </row>
    <row r="76" spans="1:5" x14ac:dyDescent="0.2">
      <c r="A76" s="100" t="s">
        <v>137</v>
      </c>
      <c r="B76" s="87">
        <v>650978473</v>
      </c>
      <c r="C76" s="87">
        <v>479710129</v>
      </c>
      <c r="D76" s="86">
        <f t="shared" si="21"/>
        <v>-171268344</v>
      </c>
      <c r="E76" s="88">
        <f t="shared" si="18"/>
        <v>73.690628630049943</v>
      </c>
    </row>
    <row r="77" spans="1:5" x14ac:dyDescent="0.2">
      <c r="A77" s="100" t="s">
        <v>138</v>
      </c>
      <c r="B77" s="87">
        <v>164440882</v>
      </c>
      <c r="C77" s="87">
        <v>117046103</v>
      </c>
      <c r="D77" s="86">
        <f t="shared" si="21"/>
        <v>-47394779</v>
      </c>
      <c r="E77" s="88">
        <f t="shared" si="18"/>
        <v>71.178226227222495</v>
      </c>
    </row>
    <row r="78" spans="1:5" x14ac:dyDescent="0.2">
      <c r="A78" s="100" t="s">
        <v>139</v>
      </c>
      <c r="B78" s="87">
        <v>13122526</v>
      </c>
      <c r="C78" s="87">
        <v>9237221</v>
      </c>
      <c r="D78" s="86">
        <f t="shared" si="21"/>
        <v>-3885305</v>
      </c>
      <c r="E78" s="88">
        <f t="shared" si="18"/>
        <v>70.392095241419213</v>
      </c>
    </row>
    <row r="79" spans="1:5" x14ac:dyDescent="0.2">
      <c r="A79" s="100" t="s">
        <v>140</v>
      </c>
      <c r="B79" s="87">
        <v>275209</v>
      </c>
      <c r="C79" s="87">
        <v>219421</v>
      </c>
      <c r="D79" s="86">
        <f t="shared" si="21"/>
        <v>-55788</v>
      </c>
      <c r="E79" s="88">
        <f t="shared" si="18"/>
        <v>79.728860611389891</v>
      </c>
    </row>
    <row r="80" spans="1:5" x14ac:dyDescent="0.2">
      <c r="A80" s="100" t="s">
        <v>141</v>
      </c>
      <c r="B80" s="87">
        <v>23475523</v>
      </c>
      <c r="C80" s="87">
        <v>16089890.109999999</v>
      </c>
      <c r="D80" s="86">
        <f t="shared" si="21"/>
        <v>-7385632.8900000006</v>
      </c>
      <c r="E80" s="88">
        <f t="shared" si="18"/>
        <v>68.539005968045956</v>
      </c>
    </row>
    <row r="81" spans="1:5" x14ac:dyDescent="0.2">
      <c r="A81" s="100" t="s">
        <v>142</v>
      </c>
      <c r="B81" s="87">
        <v>23789993</v>
      </c>
      <c r="C81" s="87">
        <v>18814992.739999998</v>
      </c>
      <c r="D81" s="86">
        <f t="shared" si="21"/>
        <v>-4975000.2600000016</v>
      </c>
      <c r="E81" s="88">
        <f t="shared" si="18"/>
        <v>79.087844792556268</v>
      </c>
    </row>
    <row r="82" spans="1:5" x14ac:dyDescent="0.2">
      <c r="A82" s="89" t="s">
        <v>143</v>
      </c>
      <c r="B82" s="91">
        <f>ROUND(SUM(B83:B86),0)</f>
        <v>26673608</v>
      </c>
      <c r="C82" s="91">
        <f t="shared" ref="C82:D82" si="22">ROUND(SUM(C83:C86),0)</f>
        <v>22141441</v>
      </c>
      <c r="D82" s="91">
        <f t="shared" si="22"/>
        <v>-4532167</v>
      </c>
      <c r="E82" s="84">
        <f t="shared" si="18"/>
        <v>83.008796560255362</v>
      </c>
    </row>
    <row r="83" spans="1:5" x14ac:dyDescent="0.2">
      <c r="A83" s="89" t="s">
        <v>144</v>
      </c>
      <c r="B83" s="86">
        <v>3213437</v>
      </c>
      <c r="C83" s="87">
        <v>225843</v>
      </c>
      <c r="D83" s="86">
        <f t="shared" si="19"/>
        <v>-2987594</v>
      </c>
      <c r="E83" s="88">
        <f t="shared" si="18"/>
        <v>7.028082392777578</v>
      </c>
    </row>
    <row r="84" spans="1:5" x14ac:dyDescent="0.2">
      <c r="A84" s="100" t="s">
        <v>145</v>
      </c>
      <c r="B84" s="86">
        <v>8507306</v>
      </c>
      <c r="C84" s="87">
        <v>8540139</v>
      </c>
      <c r="D84" s="86">
        <f t="shared" si="19"/>
        <v>32833</v>
      </c>
      <c r="E84" s="88">
        <f t="shared" si="18"/>
        <v>100.3859388624319</v>
      </c>
    </row>
    <row r="85" spans="1:5" x14ac:dyDescent="0.2">
      <c r="A85" s="89" t="s">
        <v>146</v>
      </c>
      <c r="B85" s="86">
        <v>10302369</v>
      </c>
      <c r="C85" s="87">
        <v>9667090</v>
      </c>
      <c r="D85" s="86">
        <f t="shared" si="19"/>
        <v>-635279</v>
      </c>
      <c r="E85" s="88">
        <f t="shared" si="18"/>
        <v>93.833660976422024</v>
      </c>
    </row>
    <row r="86" spans="1:5" x14ac:dyDescent="0.2">
      <c r="A86" s="89" t="s">
        <v>147</v>
      </c>
      <c r="B86" s="86">
        <v>4650496</v>
      </c>
      <c r="C86" s="87">
        <v>3708369</v>
      </c>
      <c r="D86" s="86">
        <f t="shared" si="19"/>
        <v>-942127</v>
      </c>
      <c r="E86" s="88">
        <f t="shared" si="18"/>
        <v>79.741365222118247</v>
      </c>
    </row>
    <row r="87" spans="1:5" ht="25.5" x14ac:dyDescent="0.2">
      <c r="A87" s="89" t="s">
        <v>148</v>
      </c>
      <c r="B87" s="91">
        <f t="shared" ref="B87:D87" si="23">ROUND(SUM(B88:B89),0)</f>
        <v>217000000</v>
      </c>
      <c r="C87" s="91">
        <f t="shared" si="23"/>
        <v>144856883</v>
      </c>
      <c r="D87" s="91">
        <f t="shared" si="23"/>
        <v>-72143117</v>
      </c>
      <c r="E87" s="84">
        <f t="shared" si="18"/>
        <v>66.754323963133643</v>
      </c>
    </row>
    <row r="88" spans="1:5" x14ac:dyDescent="0.2">
      <c r="A88" s="100" t="s">
        <v>149</v>
      </c>
      <c r="B88" s="86">
        <v>189806251</v>
      </c>
      <c r="C88" s="87">
        <v>125581292</v>
      </c>
      <c r="D88" s="86">
        <f t="shared" si="19"/>
        <v>-64224959</v>
      </c>
      <c r="E88" s="88">
        <f t="shared" si="18"/>
        <v>66.162885225524008</v>
      </c>
    </row>
    <row r="89" spans="1:5" x14ac:dyDescent="0.2">
      <c r="A89" s="89" t="s">
        <v>150</v>
      </c>
      <c r="B89" s="86">
        <v>27193749</v>
      </c>
      <c r="C89" s="87">
        <v>19275591</v>
      </c>
      <c r="D89" s="86">
        <f t="shared" si="19"/>
        <v>-7918158</v>
      </c>
      <c r="E89" s="88">
        <f t="shared" si="18"/>
        <v>70.882433312155669</v>
      </c>
    </row>
    <row r="90" spans="1:5" x14ac:dyDescent="0.2">
      <c r="A90" s="89" t="s">
        <v>151</v>
      </c>
      <c r="B90" s="83">
        <v>90692853</v>
      </c>
      <c r="C90" s="91">
        <v>61144244</v>
      </c>
      <c r="D90" s="83">
        <f t="shared" si="19"/>
        <v>-29548609</v>
      </c>
      <c r="E90" s="84">
        <f t="shared" si="18"/>
        <v>67.41903245672512</v>
      </c>
    </row>
    <row r="91" spans="1:5" ht="6" customHeight="1" thickBot="1" x14ac:dyDescent="0.25">
      <c r="A91" s="99"/>
      <c r="B91" s="97"/>
      <c r="C91" s="98"/>
      <c r="D91" s="98"/>
      <c r="E91" s="97"/>
    </row>
    <row r="92" spans="1:5" ht="13.5" thickBot="1" x14ac:dyDescent="0.25">
      <c r="A92" s="62" t="s">
        <v>77</v>
      </c>
      <c r="B92" s="63" t="s">
        <v>78</v>
      </c>
      <c r="C92" s="63" t="s">
        <v>79</v>
      </c>
      <c r="D92" s="64" t="s">
        <v>80</v>
      </c>
      <c r="E92" s="64" t="s">
        <v>81</v>
      </c>
    </row>
    <row r="93" spans="1:5" x14ac:dyDescent="0.2">
      <c r="A93" s="82" t="s">
        <v>83</v>
      </c>
      <c r="B93" s="83"/>
      <c r="C93" s="83"/>
      <c r="D93" s="83"/>
      <c r="E93" s="84"/>
    </row>
    <row r="94" spans="1:5" ht="63.75" x14ac:dyDescent="0.2">
      <c r="A94" s="100" t="s">
        <v>152</v>
      </c>
      <c r="B94" s="83">
        <f>ROUND(SUM(B95:B99),0)</f>
        <v>16712715</v>
      </c>
      <c r="C94" s="83">
        <f t="shared" ref="C94:D94" si="24">ROUND(SUM(C95:C99),0)</f>
        <v>12991372</v>
      </c>
      <c r="D94" s="83">
        <f t="shared" si="24"/>
        <v>-3721343</v>
      </c>
      <c r="E94" s="84">
        <f t="shared" si="18"/>
        <v>77.733462217239989</v>
      </c>
    </row>
    <row r="95" spans="1:5" x14ac:dyDescent="0.2">
      <c r="A95" s="89" t="s">
        <v>153</v>
      </c>
      <c r="B95" s="86">
        <v>328444</v>
      </c>
      <c r="C95" s="87">
        <v>126624</v>
      </c>
      <c r="D95" s="86">
        <f t="shared" si="19"/>
        <v>-201820</v>
      </c>
      <c r="E95" s="88">
        <f t="shared" si="18"/>
        <v>38.552690869676418</v>
      </c>
    </row>
    <row r="96" spans="1:5" ht="25.5" x14ac:dyDescent="0.2">
      <c r="A96" s="89" t="s">
        <v>154</v>
      </c>
      <c r="B96" s="86">
        <v>0</v>
      </c>
      <c r="C96" s="87">
        <v>0</v>
      </c>
      <c r="D96" s="86">
        <f t="shared" si="19"/>
        <v>0</v>
      </c>
      <c r="E96" s="88">
        <v>0</v>
      </c>
    </row>
    <row r="97" spans="1:6" ht="25.5" x14ac:dyDescent="0.2">
      <c r="A97" s="100" t="s">
        <v>155</v>
      </c>
      <c r="B97" s="86">
        <v>2447316</v>
      </c>
      <c r="C97" s="87">
        <v>1502799</v>
      </c>
      <c r="D97" s="86">
        <f t="shared" si="19"/>
        <v>-944517</v>
      </c>
      <c r="E97" s="88">
        <f t="shared" si="18"/>
        <v>61.406005599603809</v>
      </c>
    </row>
    <row r="98" spans="1:6" x14ac:dyDescent="0.2">
      <c r="A98" s="103" t="s">
        <v>156</v>
      </c>
      <c r="B98" s="86">
        <v>5588399</v>
      </c>
      <c r="C98" s="87">
        <v>4365903</v>
      </c>
      <c r="D98" s="86">
        <f t="shared" si="19"/>
        <v>-1222496</v>
      </c>
      <c r="E98" s="88">
        <f t="shared" si="18"/>
        <v>78.12439662951769</v>
      </c>
    </row>
    <row r="99" spans="1:6" ht="25.5" x14ac:dyDescent="0.2">
      <c r="A99" s="89" t="s">
        <v>157</v>
      </c>
      <c r="B99" s="86">
        <v>8348556</v>
      </c>
      <c r="C99" s="87">
        <v>6996046</v>
      </c>
      <c r="D99" s="86">
        <f t="shared" si="19"/>
        <v>-1352510</v>
      </c>
      <c r="E99" s="88">
        <f t="shared" si="18"/>
        <v>83.799473825174076</v>
      </c>
    </row>
    <row r="100" spans="1:6" ht="25.5" x14ac:dyDescent="0.2">
      <c r="A100" s="89" t="s">
        <v>158</v>
      </c>
      <c r="B100" s="83">
        <v>343745</v>
      </c>
      <c r="C100" s="91">
        <v>264208</v>
      </c>
      <c r="D100" s="83">
        <f t="shared" si="19"/>
        <v>-79537</v>
      </c>
      <c r="E100" s="84">
        <f t="shared" si="18"/>
        <v>76.861627078212052</v>
      </c>
    </row>
    <row r="101" spans="1:6" ht="25.5" x14ac:dyDescent="0.2">
      <c r="A101" s="89" t="s">
        <v>159</v>
      </c>
      <c r="B101" s="83">
        <v>9557723</v>
      </c>
      <c r="C101" s="91">
        <v>7167548</v>
      </c>
      <c r="D101" s="83">
        <f t="shared" si="19"/>
        <v>-2390175</v>
      </c>
      <c r="E101" s="84">
        <f t="shared" si="18"/>
        <v>74.992213103476629</v>
      </c>
    </row>
    <row r="102" spans="1:6" ht="25.5" x14ac:dyDescent="0.2">
      <c r="A102" s="89" t="s">
        <v>160</v>
      </c>
      <c r="B102" s="83">
        <v>10619079</v>
      </c>
      <c r="C102" s="91">
        <v>11144597</v>
      </c>
      <c r="D102" s="83">
        <f t="shared" si="19"/>
        <v>525518</v>
      </c>
      <c r="E102" s="84">
        <f t="shared" si="18"/>
        <v>104.94880959073758</v>
      </c>
      <c r="F102" s="61"/>
    </row>
    <row r="103" spans="1:6" ht="25.5" x14ac:dyDescent="0.2">
      <c r="A103" s="89" t="s">
        <v>161</v>
      </c>
      <c r="B103" s="83">
        <v>11270787</v>
      </c>
      <c r="C103" s="91">
        <v>7348104</v>
      </c>
      <c r="D103" s="83">
        <f t="shared" si="19"/>
        <v>-3922683</v>
      </c>
      <c r="E103" s="84">
        <f t="shared" si="18"/>
        <v>65.196015149607561</v>
      </c>
    </row>
    <row r="104" spans="1:6" x14ac:dyDescent="0.2">
      <c r="A104" s="89" t="s">
        <v>162</v>
      </c>
      <c r="B104" s="83">
        <v>2412593</v>
      </c>
      <c r="C104" s="91">
        <v>756440</v>
      </c>
      <c r="D104" s="83">
        <f t="shared" si="19"/>
        <v>-1656153</v>
      </c>
      <c r="E104" s="84">
        <f t="shared" si="18"/>
        <v>31.353817241449345</v>
      </c>
    </row>
    <row r="105" spans="1:6" x14ac:dyDescent="0.2">
      <c r="A105" s="90" t="s">
        <v>98</v>
      </c>
      <c r="B105" s="91">
        <f>ROUND(SUM(B106:B108),0)</f>
        <v>61721594</v>
      </c>
      <c r="C105" s="91">
        <f>ROUND(SUM(C106:C108),0)</f>
        <v>44833693</v>
      </c>
      <c r="D105" s="91">
        <f t="shared" ref="D105" si="25">ROUND(SUM(D106:D108),0)</f>
        <v>-16887901</v>
      </c>
      <c r="E105" s="84">
        <f t="shared" si="18"/>
        <v>72.638585775992766</v>
      </c>
    </row>
    <row r="106" spans="1:6" x14ac:dyDescent="0.2">
      <c r="A106" s="89" t="s">
        <v>99</v>
      </c>
      <c r="B106" s="86">
        <v>49336222</v>
      </c>
      <c r="C106" s="87">
        <v>29151167</v>
      </c>
      <c r="D106" s="86">
        <f t="shared" si="19"/>
        <v>-20185055</v>
      </c>
      <c r="E106" s="88">
        <f t="shared" si="18"/>
        <v>59.086743609999161</v>
      </c>
    </row>
    <row r="107" spans="1:6" x14ac:dyDescent="0.2">
      <c r="A107" s="89" t="s">
        <v>100</v>
      </c>
      <c r="B107" s="86">
        <v>6142501</v>
      </c>
      <c r="C107" s="87">
        <v>7532055</v>
      </c>
      <c r="D107" s="86">
        <f t="shared" si="19"/>
        <v>1389554</v>
      </c>
      <c r="E107" s="88">
        <f t="shared" si="18"/>
        <v>122.62195805910329</v>
      </c>
    </row>
    <row r="108" spans="1:6" x14ac:dyDescent="0.2">
      <c r="A108" s="89" t="s">
        <v>101</v>
      </c>
      <c r="B108" s="86">
        <v>6242871</v>
      </c>
      <c r="C108" s="87">
        <v>8150471</v>
      </c>
      <c r="D108" s="86">
        <f t="shared" si="19"/>
        <v>1907600</v>
      </c>
      <c r="E108" s="88">
        <f t="shared" si="18"/>
        <v>130.55645391359201</v>
      </c>
    </row>
    <row r="109" spans="1:6" ht="39" thickBot="1" x14ac:dyDescent="0.25">
      <c r="A109" s="92" t="s">
        <v>163</v>
      </c>
      <c r="B109" s="93">
        <v>805064</v>
      </c>
      <c r="C109" s="104">
        <v>442085</v>
      </c>
      <c r="D109" s="93">
        <f t="shared" si="19"/>
        <v>-362979</v>
      </c>
      <c r="E109" s="95">
        <f t="shared" si="18"/>
        <v>54.913025548279393</v>
      </c>
      <c r="F109" s="61"/>
    </row>
    <row r="110" spans="1:6" x14ac:dyDescent="0.2">
      <c r="A110" s="105"/>
      <c r="B110" s="105"/>
      <c r="C110" s="106"/>
      <c r="D110" s="105"/>
      <c r="E110" s="105"/>
    </row>
    <row r="111" spans="1:6" ht="13.5" thickBot="1" x14ac:dyDescent="0.25">
      <c r="A111" s="107"/>
      <c r="B111" s="105"/>
      <c r="C111" s="108"/>
      <c r="D111" s="105"/>
      <c r="E111" s="105"/>
    </row>
    <row r="112" spans="1:6" ht="13.5" thickBot="1" x14ac:dyDescent="0.25">
      <c r="A112" s="62" t="s">
        <v>77</v>
      </c>
      <c r="B112" s="63" t="s">
        <v>78</v>
      </c>
      <c r="C112" s="63" t="s">
        <v>79</v>
      </c>
      <c r="D112" s="64" t="s">
        <v>80</v>
      </c>
      <c r="E112" s="64" t="s">
        <v>81</v>
      </c>
    </row>
    <row r="113" spans="1:5" x14ac:dyDescent="0.2">
      <c r="A113" s="82" t="s">
        <v>84</v>
      </c>
      <c r="B113" s="83">
        <f>ROUND(+B114+B120+B124,0)</f>
        <v>45792731</v>
      </c>
      <c r="C113" s="83">
        <f t="shared" ref="C113:D113" si="26">ROUND(+C114+C120+C124,0)</f>
        <v>104307879</v>
      </c>
      <c r="D113" s="83">
        <f t="shared" si="26"/>
        <v>58515148</v>
      </c>
      <c r="E113" s="84">
        <f t="shared" ref="E113:E122" si="27">+C113/B113*100</f>
        <v>227.78261248493786</v>
      </c>
    </row>
    <row r="114" spans="1:5" x14ac:dyDescent="0.2">
      <c r="A114" s="90" t="s">
        <v>164</v>
      </c>
      <c r="B114" s="83">
        <f>ROUND((+B115+B118+B119),0)</f>
        <v>39003916</v>
      </c>
      <c r="C114" s="83">
        <f t="shared" ref="C114" si="28">ROUND((+C115+C118+C119),0)</f>
        <v>72230553</v>
      </c>
      <c r="D114" s="83">
        <f>ROUND((+D115+D118+D119),0)</f>
        <v>33226637</v>
      </c>
      <c r="E114" s="84">
        <f t="shared" si="27"/>
        <v>185.18795138416357</v>
      </c>
    </row>
    <row r="115" spans="1:5" ht="25.5" x14ac:dyDescent="0.2">
      <c r="A115" s="100" t="s">
        <v>165</v>
      </c>
      <c r="B115" s="83">
        <f>ROUND(SUM(B116:B117),0)</f>
        <v>162217</v>
      </c>
      <c r="C115" s="83">
        <f t="shared" ref="C115:D115" si="29">ROUND(SUM(C116:C117),0)</f>
        <v>167172</v>
      </c>
      <c r="D115" s="83">
        <f t="shared" si="29"/>
        <v>4955</v>
      </c>
      <c r="E115" s="84">
        <f t="shared" si="27"/>
        <v>103.05455038621105</v>
      </c>
    </row>
    <row r="116" spans="1:5" x14ac:dyDescent="0.2">
      <c r="A116" s="100" t="s">
        <v>166</v>
      </c>
      <c r="B116" s="86">
        <v>0</v>
      </c>
      <c r="C116" s="87">
        <v>0</v>
      </c>
      <c r="D116" s="101">
        <f t="shared" ref="D116:D119" si="30">+C116-B116</f>
        <v>0</v>
      </c>
      <c r="E116" s="88">
        <v>0</v>
      </c>
    </row>
    <row r="117" spans="1:5" x14ac:dyDescent="0.2">
      <c r="A117" s="109" t="s">
        <v>167</v>
      </c>
      <c r="B117" s="86">
        <v>162217</v>
      </c>
      <c r="C117" s="87">
        <v>167172</v>
      </c>
      <c r="D117" s="86">
        <f t="shared" si="30"/>
        <v>4955</v>
      </c>
      <c r="E117" s="88">
        <f t="shared" si="27"/>
        <v>103.05455038621105</v>
      </c>
    </row>
    <row r="118" spans="1:5" x14ac:dyDescent="0.2">
      <c r="A118" s="109" t="s">
        <v>168</v>
      </c>
      <c r="B118" s="86">
        <v>38806762</v>
      </c>
      <c r="C118" s="87">
        <v>72032818</v>
      </c>
      <c r="D118" s="86">
        <f t="shared" si="30"/>
        <v>33226056</v>
      </c>
      <c r="E118" s="88">
        <f t="shared" si="27"/>
        <v>185.61924336794706</v>
      </c>
    </row>
    <row r="119" spans="1:5" x14ac:dyDescent="0.2">
      <c r="A119" s="109" t="s">
        <v>169</v>
      </c>
      <c r="B119" s="86">
        <v>34937</v>
      </c>
      <c r="C119" s="87">
        <v>30563</v>
      </c>
      <c r="D119" s="86">
        <f t="shared" si="30"/>
        <v>-4374</v>
      </c>
      <c r="E119" s="88">
        <f t="shared" si="27"/>
        <v>87.48032172195667</v>
      </c>
    </row>
    <row r="120" spans="1:5" x14ac:dyDescent="0.2">
      <c r="A120" s="90" t="s">
        <v>170</v>
      </c>
      <c r="B120" s="83">
        <f>ROUND(SUM(B121:B123),0)</f>
        <v>6788815</v>
      </c>
      <c r="C120" s="83">
        <f t="shared" ref="C120" si="31">ROUND(SUM(C121:C123),0)</f>
        <v>32077326</v>
      </c>
      <c r="D120" s="83">
        <f>ROUND(SUM(D121:D123),0)</f>
        <v>25288511</v>
      </c>
      <c r="E120" s="84">
        <f t="shared" si="27"/>
        <v>472.50257961072737</v>
      </c>
    </row>
    <row r="121" spans="1:5" ht="25.5" x14ac:dyDescent="0.2">
      <c r="A121" s="100" t="s">
        <v>171</v>
      </c>
      <c r="B121" s="86">
        <v>6582975</v>
      </c>
      <c r="C121" s="87">
        <v>30852699</v>
      </c>
      <c r="D121" s="86">
        <f t="shared" ref="D121:D122" si="32">+C121-B121</f>
        <v>24269724</v>
      </c>
      <c r="E121" s="88">
        <f t="shared" si="27"/>
        <v>468.67410251444062</v>
      </c>
    </row>
    <row r="122" spans="1:5" ht="26.25" customHeight="1" x14ac:dyDescent="0.2">
      <c r="A122" s="110" t="s">
        <v>172</v>
      </c>
      <c r="B122" s="86">
        <v>205840</v>
      </c>
      <c r="C122" s="87">
        <v>1224627</v>
      </c>
      <c r="D122" s="86">
        <f t="shared" si="32"/>
        <v>1018787</v>
      </c>
      <c r="E122" s="88">
        <f t="shared" si="27"/>
        <v>594.94121647881843</v>
      </c>
    </row>
    <row r="123" spans="1:5" x14ac:dyDescent="0.2">
      <c r="A123" s="100" t="s">
        <v>173</v>
      </c>
      <c r="B123" s="83">
        <v>0</v>
      </c>
      <c r="C123" s="91">
        <v>0</v>
      </c>
      <c r="D123" s="111">
        <f>+C123-B123</f>
        <v>0</v>
      </c>
      <c r="E123" s="88">
        <v>0</v>
      </c>
    </row>
    <row r="124" spans="1:5" ht="39" thickBot="1" x14ac:dyDescent="0.25">
      <c r="A124" s="112" t="s">
        <v>174</v>
      </c>
      <c r="B124" s="93">
        <v>0</v>
      </c>
      <c r="C124" s="104">
        <v>0</v>
      </c>
      <c r="D124" s="93">
        <f>+C124-B124</f>
        <v>0</v>
      </c>
      <c r="E124" s="95">
        <v>0</v>
      </c>
    </row>
    <row r="125" spans="1:5" x14ac:dyDescent="0.2">
      <c r="A125" s="113"/>
      <c r="C125" s="114"/>
    </row>
    <row r="126" spans="1:5" ht="14.25" customHeight="1" thickBot="1" x14ac:dyDescent="0.25">
      <c r="A126" s="113"/>
      <c r="C126" s="114"/>
    </row>
    <row r="127" spans="1:5" ht="13.5" thickBot="1" x14ac:dyDescent="0.25">
      <c r="A127" s="62" t="s">
        <v>77</v>
      </c>
      <c r="B127" s="63" t="s">
        <v>78</v>
      </c>
      <c r="C127" s="63" t="s">
        <v>79</v>
      </c>
      <c r="D127" s="64" t="s">
        <v>80</v>
      </c>
      <c r="E127" s="64" t="s">
        <v>81</v>
      </c>
    </row>
    <row r="128" spans="1:5" x14ac:dyDescent="0.2">
      <c r="A128" s="82" t="s">
        <v>85</v>
      </c>
      <c r="B128" s="83">
        <f>ROUND((+B129+B172),0)</f>
        <v>1961829144</v>
      </c>
      <c r="C128" s="83">
        <f>ROUND((+C129+C172),0)</f>
        <v>1979903523</v>
      </c>
      <c r="D128" s="83">
        <f>ROUND((+D129+D172),0)</f>
        <v>18074379</v>
      </c>
      <c r="E128" s="84">
        <f t="shared" ref="E128:E172" si="33">+C128/B128*100</f>
        <v>100.92130240063352</v>
      </c>
    </row>
    <row r="129" spans="1:5" x14ac:dyDescent="0.2">
      <c r="A129" s="90" t="s">
        <v>175</v>
      </c>
      <c r="B129" s="83">
        <f>ROUND((+B130+B146+B149+B150+B153+B156+B157+B158+B159+B160+B152),0)</f>
        <v>1960068474</v>
      </c>
      <c r="C129" s="83">
        <f>ROUND((+C130+C146+C149+C150+C153+C156+C157+C158+C159+C160+C152),0)</f>
        <v>1978926874</v>
      </c>
      <c r="D129" s="83">
        <f>ROUND((+D130+D146+D149+D150+D153+D156+D157+D158+D159+D160+D152),0)</f>
        <v>18858400</v>
      </c>
      <c r="E129" s="84">
        <f t="shared" si="33"/>
        <v>100.96212965261948</v>
      </c>
    </row>
    <row r="130" spans="1:5" x14ac:dyDescent="0.2">
      <c r="A130" s="100" t="s">
        <v>176</v>
      </c>
      <c r="B130" s="83">
        <f>ROUND((SUM(B131:B142)+B143+B144+B145),0)</f>
        <v>1886843457</v>
      </c>
      <c r="C130" s="83">
        <f>ROUND((SUM(C131:C142)+C143+C144+C145),0)</f>
        <v>1530788691</v>
      </c>
      <c r="D130" s="83">
        <f>ROUND((SUM(D131:D142)+D143+D144+D145),0)</f>
        <v>-356054766</v>
      </c>
      <c r="E130" s="84">
        <f t="shared" si="33"/>
        <v>81.129607510412555</v>
      </c>
    </row>
    <row r="131" spans="1:5" x14ac:dyDescent="0.2">
      <c r="A131" s="89" t="s">
        <v>177</v>
      </c>
      <c r="B131" s="86">
        <v>273550208</v>
      </c>
      <c r="C131" s="87">
        <v>295144658</v>
      </c>
      <c r="D131" s="101">
        <f t="shared" ref="D131:D155" si="34">+C131-B131</f>
        <v>21594450</v>
      </c>
      <c r="E131" s="88">
        <f t="shared" si="33"/>
        <v>107.89414497538968</v>
      </c>
    </row>
    <row r="132" spans="1:5" x14ac:dyDescent="0.2">
      <c r="A132" s="89" t="s">
        <v>178</v>
      </c>
      <c r="B132" s="86">
        <v>67796960</v>
      </c>
      <c r="C132" s="87">
        <v>42208064</v>
      </c>
      <c r="D132" s="101">
        <f t="shared" si="34"/>
        <v>-25588896</v>
      </c>
      <c r="E132" s="88">
        <f t="shared" si="33"/>
        <v>62.256573156082517</v>
      </c>
    </row>
    <row r="133" spans="1:5" x14ac:dyDescent="0.2">
      <c r="A133" s="89" t="s">
        <v>179</v>
      </c>
      <c r="B133" s="86">
        <v>1282937</v>
      </c>
      <c r="C133" s="87">
        <v>801346</v>
      </c>
      <c r="D133" s="101">
        <f t="shared" si="34"/>
        <v>-481591</v>
      </c>
      <c r="E133" s="88">
        <f t="shared" si="33"/>
        <v>62.461835616246162</v>
      </c>
    </row>
    <row r="134" spans="1:5" ht="38.25" x14ac:dyDescent="0.2">
      <c r="A134" s="89" t="s">
        <v>180</v>
      </c>
      <c r="B134" s="86">
        <v>73480000</v>
      </c>
      <c r="C134" s="87">
        <v>50910323</v>
      </c>
      <c r="D134" s="86">
        <f t="shared" si="34"/>
        <v>-22569677</v>
      </c>
      <c r="E134" s="88">
        <f t="shared" si="33"/>
        <v>69.284598530212307</v>
      </c>
    </row>
    <row r="135" spans="1:5" x14ac:dyDescent="0.2">
      <c r="A135" s="89" t="s">
        <v>181</v>
      </c>
      <c r="B135" s="86">
        <v>15528265</v>
      </c>
      <c r="C135" s="87">
        <v>20853337</v>
      </c>
      <c r="D135" s="101">
        <f t="shared" si="34"/>
        <v>5325072</v>
      </c>
      <c r="E135" s="88">
        <f t="shared" si="33"/>
        <v>134.29276870274947</v>
      </c>
    </row>
    <row r="136" spans="1:5" x14ac:dyDescent="0.2">
      <c r="A136" s="89" t="s">
        <v>182</v>
      </c>
      <c r="B136" s="86">
        <v>261707250</v>
      </c>
      <c r="C136" s="87">
        <v>218530673</v>
      </c>
      <c r="D136" s="101">
        <f t="shared" si="34"/>
        <v>-43176577</v>
      </c>
      <c r="E136" s="88">
        <f t="shared" si="33"/>
        <v>83.501956097891821</v>
      </c>
    </row>
    <row r="137" spans="1:5" ht="25.5" x14ac:dyDescent="0.2">
      <c r="A137" s="89" t="s">
        <v>183</v>
      </c>
      <c r="B137" s="86">
        <v>62892465</v>
      </c>
      <c r="C137" s="87">
        <v>47169351</v>
      </c>
      <c r="D137" s="86">
        <f t="shared" si="34"/>
        <v>-15723114</v>
      </c>
      <c r="E137" s="88">
        <f t="shared" si="33"/>
        <v>75.000003577535082</v>
      </c>
    </row>
    <row r="138" spans="1:5" ht="25.5" x14ac:dyDescent="0.2">
      <c r="A138" s="89" t="s">
        <v>184</v>
      </c>
      <c r="B138" s="86">
        <v>48432744</v>
      </c>
      <c r="C138" s="87">
        <v>37841858</v>
      </c>
      <c r="D138" s="86">
        <f t="shared" si="34"/>
        <v>-10590886</v>
      </c>
      <c r="E138" s="88">
        <f t="shared" si="33"/>
        <v>78.132797926956187</v>
      </c>
    </row>
    <row r="139" spans="1:5" ht="25.5" x14ac:dyDescent="0.2">
      <c r="A139" s="89" t="s">
        <v>185</v>
      </c>
      <c r="B139" s="86">
        <v>915807546</v>
      </c>
      <c r="C139" s="87">
        <v>666005902</v>
      </c>
      <c r="D139" s="86">
        <f t="shared" si="34"/>
        <v>-249801644</v>
      </c>
      <c r="E139" s="88">
        <f t="shared" si="33"/>
        <v>72.723347269733011</v>
      </c>
    </row>
    <row r="140" spans="1:5" ht="25.5" x14ac:dyDescent="0.2">
      <c r="A140" s="100" t="s">
        <v>186</v>
      </c>
      <c r="B140" s="86">
        <v>1252984</v>
      </c>
      <c r="C140" s="86">
        <v>1028120</v>
      </c>
      <c r="D140" s="86">
        <f t="shared" si="34"/>
        <v>-224864</v>
      </c>
      <c r="E140" s="88">
        <f t="shared" si="33"/>
        <v>82.053721356378048</v>
      </c>
    </row>
    <row r="141" spans="1:5" ht="25.5" x14ac:dyDescent="0.2">
      <c r="A141" s="100" t="s">
        <v>187</v>
      </c>
      <c r="B141" s="86">
        <v>400270</v>
      </c>
      <c r="C141" s="86">
        <v>185631</v>
      </c>
      <c r="D141" s="86">
        <f t="shared" si="34"/>
        <v>-214639</v>
      </c>
      <c r="E141" s="88">
        <f t="shared" si="33"/>
        <v>46.376445899018165</v>
      </c>
    </row>
    <row r="142" spans="1:5" ht="28.5" customHeight="1" x14ac:dyDescent="0.2">
      <c r="A142" s="89" t="s">
        <v>188</v>
      </c>
      <c r="B142" s="86">
        <v>28109152</v>
      </c>
      <c r="C142" s="87">
        <v>12035381</v>
      </c>
      <c r="D142" s="86">
        <f t="shared" si="34"/>
        <v>-16073771</v>
      </c>
      <c r="E142" s="88">
        <f t="shared" si="33"/>
        <v>42.816592261481247</v>
      </c>
    </row>
    <row r="143" spans="1:5" x14ac:dyDescent="0.2">
      <c r="A143" s="89" t="s">
        <v>189</v>
      </c>
      <c r="B143" s="86">
        <v>6679680</v>
      </c>
      <c r="C143" s="87">
        <v>4602432</v>
      </c>
      <c r="D143" s="86">
        <f t="shared" si="34"/>
        <v>-2077248</v>
      </c>
      <c r="E143" s="88">
        <f t="shared" si="33"/>
        <v>68.901983328542684</v>
      </c>
    </row>
    <row r="144" spans="1:5" ht="25.5" x14ac:dyDescent="0.2">
      <c r="A144" s="89" t="s">
        <v>190</v>
      </c>
      <c r="B144" s="86">
        <v>2122996</v>
      </c>
      <c r="C144" s="87">
        <v>2122991</v>
      </c>
      <c r="D144" s="86">
        <f t="shared" si="34"/>
        <v>-5</v>
      </c>
      <c r="E144" s="88">
        <f t="shared" si="33"/>
        <v>99.999764483776701</v>
      </c>
    </row>
    <row r="145" spans="1:5" x14ac:dyDescent="0.2">
      <c r="A145" s="89" t="s">
        <v>191</v>
      </c>
      <c r="B145" s="86">
        <v>127800000</v>
      </c>
      <c r="C145" s="87">
        <v>131348624</v>
      </c>
      <c r="D145" s="86">
        <f t="shared" si="34"/>
        <v>3548624</v>
      </c>
      <c r="E145" s="88">
        <f t="shared" si="33"/>
        <v>102.77670109546166</v>
      </c>
    </row>
    <row r="146" spans="1:5" x14ac:dyDescent="0.2">
      <c r="A146" s="100" t="s">
        <v>100</v>
      </c>
      <c r="B146" s="83">
        <f>ROUND(SUM(B147:B148),0)</f>
        <v>34868661</v>
      </c>
      <c r="C146" s="83">
        <f t="shared" ref="C146:D146" si="35">ROUND(SUM(C147:C148),0)</f>
        <v>20148292</v>
      </c>
      <c r="D146" s="83">
        <f t="shared" si="35"/>
        <v>-14720369</v>
      </c>
      <c r="E146" s="84">
        <f t="shared" si="33"/>
        <v>57.783383193292103</v>
      </c>
    </row>
    <row r="147" spans="1:5" x14ac:dyDescent="0.2">
      <c r="A147" s="100" t="s">
        <v>192</v>
      </c>
      <c r="B147" s="86">
        <v>29526540</v>
      </c>
      <c r="C147" s="87">
        <v>19679240</v>
      </c>
      <c r="D147" s="86">
        <f t="shared" si="34"/>
        <v>-9847300</v>
      </c>
      <c r="E147" s="88">
        <f t="shared" si="33"/>
        <v>66.64932633488381</v>
      </c>
    </row>
    <row r="148" spans="1:5" x14ac:dyDescent="0.2">
      <c r="A148" s="89" t="s">
        <v>193</v>
      </c>
      <c r="B148" s="86">
        <v>5342121</v>
      </c>
      <c r="C148" s="87">
        <v>469052</v>
      </c>
      <c r="D148" s="86">
        <f t="shared" si="34"/>
        <v>-4873069</v>
      </c>
      <c r="E148" s="88">
        <f t="shared" si="33"/>
        <v>8.780257878846248</v>
      </c>
    </row>
    <row r="149" spans="1:5" x14ac:dyDescent="0.2">
      <c r="A149" s="89" t="s">
        <v>194</v>
      </c>
      <c r="B149" s="83">
        <v>959392</v>
      </c>
      <c r="C149" s="91">
        <v>588360</v>
      </c>
      <c r="D149" s="83">
        <f t="shared" si="34"/>
        <v>-371032</v>
      </c>
      <c r="E149" s="84">
        <f t="shared" si="33"/>
        <v>61.32634001534305</v>
      </c>
    </row>
    <row r="150" spans="1:5" x14ac:dyDescent="0.2">
      <c r="A150" s="89" t="s">
        <v>195</v>
      </c>
      <c r="B150" s="83">
        <f t="shared" ref="B150:D150" si="36">ROUND((+B151),0)</f>
        <v>18632332</v>
      </c>
      <c r="C150" s="83">
        <f t="shared" si="36"/>
        <v>45796123</v>
      </c>
      <c r="D150" s="83">
        <f t="shared" si="36"/>
        <v>27163791</v>
      </c>
      <c r="E150" s="84">
        <f t="shared" si="33"/>
        <v>245.78846598482679</v>
      </c>
    </row>
    <row r="151" spans="1:5" x14ac:dyDescent="0.2">
      <c r="A151" s="89" t="s">
        <v>196</v>
      </c>
      <c r="B151" s="86">
        <v>18632332</v>
      </c>
      <c r="C151" s="87">
        <v>45796123</v>
      </c>
      <c r="D151" s="86">
        <f t="shared" si="34"/>
        <v>27163791</v>
      </c>
      <c r="E151" s="88">
        <f t="shared" si="33"/>
        <v>245.78846598482679</v>
      </c>
    </row>
    <row r="152" spans="1:5" x14ac:dyDescent="0.2">
      <c r="A152" s="89" t="s">
        <v>197</v>
      </c>
      <c r="B152" s="86">
        <v>0</v>
      </c>
      <c r="C152" s="87">
        <v>2686869</v>
      </c>
      <c r="D152" s="86">
        <f t="shared" si="34"/>
        <v>2686869</v>
      </c>
      <c r="E152" s="88">
        <v>100</v>
      </c>
    </row>
    <row r="153" spans="1:5" x14ac:dyDescent="0.2">
      <c r="A153" s="89" t="s">
        <v>98</v>
      </c>
      <c r="B153" s="83">
        <f>+B154+B155</f>
        <v>11980587</v>
      </c>
      <c r="C153" s="91">
        <f t="shared" ref="C153:D153" si="37">+C154+C155</f>
        <v>4944596</v>
      </c>
      <c r="D153" s="83">
        <f t="shared" si="37"/>
        <v>-7035991</v>
      </c>
      <c r="E153" s="88">
        <f t="shared" si="33"/>
        <v>41.271734014368413</v>
      </c>
    </row>
    <row r="154" spans="1:5" x14ac:dyDescent="0.2">
      <c r="A154" s="89" t="s">
        <v>198</v>
      </c>
      <c r="B154" s="86">
        <v>8743616</v>
      </c>
      <c r="C154" s="87">
        <v>2912827</v>
      </c>
      <c r="D154" s="86">
        <f t="shared" si="34"/>
        <v>-5830789</v>
      </c>
      <c r="E154" s="88">
        <f t="shared" si="33"/>
        <v>33.313757145784997</v>
      </c>
    </row>
    <row r="155" spans="1:5" x14ac:dyDescent="0.2">
      <c r="A155" s="100" t="s">
        <v>101</v>
      </c>
      <c r="B155" s="86">
        <v>3236971</v>
      </c>
      <c r="C155" s="87">
        <v>2031769</v>
      </c>
      <c r="D155" s="86">
        <f t="shared" si="34"/>
        <v>-1205202</v>
      </c>
      <c r="E155" s="88">
        <f t="shared" si="33"/>
        <v>62.767599709728628</v>
      </c>
    </row>
    <row r="156" spans="1:5" x14ac:dyDescent="0.2">
      <c r="A156" s="89" t="s">
        <v>199</v>
      </c>
      <c r="B156" s="86">
        <v>0</v>
      </c>
      <c r="C156" s="87">
        <v>0</v>
      </c>
      <c r="D156" s="101">
        <f>+C156-B156</f>
        <v>0</v>
      </c>
      <c r="E156" s="88">
        <v>0</v>
      </c>
    </row>
    <row r="157" spans="1:5" x14ac:dyDescent="0.2">
      <c r="A157" s="89" t="s">
        <v>200</v>
      </c>
      <c r="B157" s="86">
        <v>0</v>
      </c>
      <c r="C157" s="87">
        <v>0</v>
      </c>
      <c r="D157" s="101">
        <f>+C157-B157</f>
        <v>0</v>
      </c>
      <c r="E157" s="88">
        <v>0</v>
      </c>
    </row>
    <row r="158" spans="1:5" x14ac:dyDescent="0.2">
      <c r="A158" s="89" t="s">
        <v>201</v>
      </c>
      <c r="B158" s="91">
        <v>0</v>
      </c>
      <c r="C158" s="91">
        <v>0</v>
      </c>
      <c r="D158" s="91">
        <v>0</v>
      </c>
      <c r="E158" s="88">
        <v>0</v>
      </c>
    </row>
    <row r="159" spans="1:5" ht="16.5" customHeight="1" x14ac:dyDescent="0.2">
      <c r="A159" s="89" t="s">
        <v>202</v>
      </c>
      <c r="B159" s="86">
        <v>0</v>
      </c>
      <c r="C159" s="87">
        <v>0</v>
      </c>
      <c r="D159" s="86">
        <f>+C159-B159</f>
        <v>0</v>
      </c>
      <c r="E159" s="88">
        <v>0</v>
      </c>
    </row>
    <row r="160" spans="1:5" x14ac:dyDescent="0.2">
      <c r="A160" s="89" t="s">
        <v>203</v>
      </c>
      <c r="B160" s="83">
        <f>ROUND(SUM(B161:B170),0)</f>
        <v>6784045</v>
      </c>
      <c r="C160" s="83">
        <f>ROUND(SUM(C161:C170),0)</f>
        <v>373973943</v>
      </c>
      <c r="D160" s="83">
        <f t="shared" ref="D160" si="38">ROUND(SUM(D161:D170),0)</f>
        <v>367189898</v>
      </c>
      <c r="E160" s="84">
        <f t="shared" si="33"/>
        <v>5512.551037028793</v>
      </c>
    </row>
    <row r="161" spans="1:5" x14ac:dyDescent="0.2">
      <c r="A161" s="89" t="s">
        <v>204</v>
      </c>
      <c r="B161" s="86">
        <v>0</v>
      </c>
      <c r="C161" s="87">
        <v>0</v>
      </c>
      <c r="D161" s="86">
        <f t="shared" ref="D161:D172" si="39">+C161-B161</f>
        <v>0</v>
      </c>
      <c r="E161" s="88">
        <v>0</v>
      </c>
    </row>
    <row r="162" spans="1:5" x14ac:dyDescent="0.2">
      <c r="A162" s="89" t="s">
        <v>205</v>
      </c>
      <c r="B162" s="86">
        <v>0</v>
      </c>
      <c r="C162" s="87">
        <v>0</v>
      </c>
      <c r="D162" s="86">
        <f t="shared" si="39"/>
        <v>0</v>
      </c>
      <c r="E162" s="88">
        <v>0</v>
      </c>
    </row>
    <row r="163" spans="1:5" x14ac:dyDescent="0.2">
      <c r="A163" s="89" t="s">
        <v>206</v>
      </c>
      <c r="B163" s="86">
        <v>0</v>
      </c>
      <c r="C163" s="87">
        <v>0</v>
      </c>
      <c r="D163" s="86">
        <f t="shared" si="39"/>
        <v>0</v>
      </c>
      <c r="E163" s="88">
        <v>0</v>
      </c>
    </row>
    <row r="164" spans="1:5" x14ac:dyDescent="0.2">
      <c r="A164" s="89" t="s">
        <v>207</v>
      </c>
      <c r="B164" s="86">
        <v>0</v>
      </c>
      <c r="C164" s="87">
        <v>0</v>
      </c>
      <c r="D164" s="86">
        <f t="shared" si="39"/>
        <v>0</v>
      </c>
      <c r="E164" s="88">
        <v>0</v>
      </c>
    </row>
    <row r="165" spans="1:5" x14ac:dyDescent="0.2">
      <c r="A165" s="89" t="s">
        <v>208</v>
      </c>
      <c r="B165" s="86">
        <v>0</v>
      </c>
      <c r="C165" s="87">
        <v>0</v>
      </c>
      <c r="D165" s="86">
        <f t="shared" si="39"/>
        <v>0</v>
      </c>
      <c r="E165" s="88">
        <v>0</v>
      </c>
    </row>
    <row r="166" spans="1:5" x14ac:dyDescent="0.2">
      <c r="A166" s="89" t="s">
        <v>209</v>
      </c>
      <c r="B166" s="86">
        <v>0</v>
      </c>
      <c r="C166" s="87">
        <v>0</v>
      </c>
      <c r="D166" s="86">
        <f t="shared" si="39"/>
        <v>0</v>
      </c>
      <c r="E166" s="88">
        <v>0</v>
      </c>
    </row>
    <row r="167" spans="1:5" x14ac:dyDescent="0.2">
      <c r="A167" s="89" t="s">
        <v>210</v>
      </c>
      <c r="B167" s="86">
        <v>0</v>
      </c>
      <c r="C167" s="87">
        <v>0</v>
      </c>
      <c r="D167" s="86">
        <f t="shared" si="39"/>
        <v>0</v>
      </c>
      <c r="E167" s="88">
        <v>0</v>
      </c>
    </row>
    <row r="168" spans="1:5" x14ac:dyDescent="0.2">
      <c r="A168" s="89" t="s">
        <v>211</v>
      </c>
      <c r="B168" s="86">
        <v>0</v>
      </c>
      <c r="C168" s="87">
        <v>0</v>
      </c>
      <c r="D168" s="86">
        <f t="shared" si="39"/>
        <v>0</v>
      </c>
      <c r="E168" s="88">
        <v>0</v>
      </c>
    </row>
    <row r="169" spans="1:5" x14ac:dyDescent="0.2">
      <c r="A169" s="100" t="s">
        <v>212</v>
      </c>
      <c r="B169" s="86">
        <v>0</v>
      </c>
      <c r="C169" s="87">
        <v>0</v>
      </c>
      <c r="D169" s="86">
        <f t="shared" si="39"/>
        <v>0</v>
      </c>
      <c r="E169" s="88">
        <v>0</v>
      </c>
    </row>
    <row r="170" spans="1:5" x14ac:dyDescent="0.2">
      <c r="A170" s="89" t="s">
        <v>213</v>
      </c>
      <c r="B170" s="86">
        <v>6784045</v>
      </c>
      <c r="C170" s="83">
        <v>373973943</v>
      </c>
      <c r="D170" s="86">
        <f t="shared" si="39"/>
        <v>367189898</v>
      </c>
      <c r="E170" s="88">
        <f t="shared" si="33"/>
        <v>5512.551037028793</v>
      </c>
    </row>
    <row r="171" spans="1:5" x14ac:dyDescent="0.2">
      <c r="A171" s="89" t="s">
        <v>214</v>
      </c>
      <c r="B171" s="86">
        <v>0</v>
      </c>
      <c r="C171" s="87">
        <v>0</v>
      </c>
      <c r="D171" s="101">
        <f>+C171-B171</f>
        <v>0</v>
      </c>
      <c r="E171" s="88">
        <v>0</v>
      </c>
    </row>
    <row r="172" spans="1:5" ht="51.75" thickBot="1" x14ac:dyDescent="0.25">
      <c r="A172" s="112" t="s">
        <v>215</v>
      </c>
      <c r="B172" s="115">
        <v>1760670</v>
      </c>
      <c r="C172" s="104">
        <v>976649</v>
      </c>
      <c r="D172" s="104">
        <f t="shared" si="39"/>
        <v>-784021</v>
      </c>
      <c r="E172" s="95">
        <f t="shared" si="33"/>
        <v>55.470303918394706</v>
      </c>
    </row>
    <row r="173" spans="1:5" x14ac:dyDescent="0.2">
      <c r="A173" s="116"/>
      <c r="B173" s="105"/>
      <c r="C173" s="108"/>
      <c r="D173" s="105"/>
      <c r="E173" s="105"/>
    </row>
    <row r="174" spans="1:5" ht="9" customHeight="1" thickBot="1" x14ac:dyDescent="0.25">
      <c r="A174" s="117"/>
      <c r="B174" s="97"/>
      <c r="C174" s="97"/>
      <c r="D174" s="97"/>
      <c r="E174" s="97"/>
    </row>
    <row r="175" spans="1:5" ht="13.5" thickBot="1" x14ac:dyDescent="0.25">
      <c r="A175" s="62" t="s">
        <v>77</v>
      </c>
      <c r="B175" s="63" t="s">
        <v>78</v>
      </c>
      <c r="C175" s="118" t="s">
        <v>79</v>
      </c>
      <c r="D175" s="64" t="s">
        <v>80</v>
      </c>
      <c r="E175" s="64" t="s">
        <v>81</v>
      </c>
    </row>
    <row r="176" spans="1:5" x14ac:dyDescent="0.2">
      <c r="A176" s="82" t="s">
        <v>87</v>
      </c>
      <c r="B176" s="83">
        <f>ROUND((+B177),0)</f>
        <v>4788853</v>
      </c>
      <c r="C176" s="83">
        <f t="shared" ref="C176:D176" si="40">ROUND((+C177),0)</f>
        <v>4658759</v>
      </c>
      <c r="D176" s="83">
        <f t="shared" si="40"/>
        <v>-130094</v>
      </c>
      <c r="E176" s="84">
        <f t="shared" ref="E176:E177" si="41">+C176/B176*100</f>
        <v>97.283399594850792</v>
      </c>
    </row>
    <row r="177" spans="1:5" ht="26.25" thickBot="1" x14ac:dyDescent="0.25">
      <c r="A177" s="119" t="s">
        <v>216</v>
      </c>
      <c r="B177" s="93">
        <v>4788853</v>
      </c>
      <c r="C177" s="104">
        <v>4658759</v>
      </c>
      <c r="D177" s="104">
        <f t="shared" ref="D177" si="42">+C177-B177</f>
        <v>-130094</v>
      </c>
      <c r="E177" s="95">
        <f t="shared" si="41"/>
        <v>97.283399594850792</v>
      </c>
    </row>
    <row r="178" spans="1:5" x14ac:dyDescent="0.2">
      <c r="A178" s="120"/>
      <c r="B178" s="105"/>
      <c r="C178" s="108"/>
      <c r="D178" s="105"/>
      <c r="E178" s="105"/>
    </row>
    <row r="179" spans="1:5" ht="13.5" thickBot="1" x14ac:dyDescent="0.25">
      <c r="A179" s="60"/>
      <c r="C179" s="114"/>
    </row>
    <row r="180" spans="1:5" ht="13.5" thickBot="1" x14ac:dyDescent="0.25">
      <c r="A180" s="62" t="s">
        <v>77</v>
      </c>
      <c r="B180" s="63" t="s">
        <v>78</v>
      </c>
      <c r="C180" s="63" t="s">
        <v>79</v>
      </c>
      <c r="D180" s="64" t="s">
        <v>80</v>
      </c>
      <c r="E180" s="64" t="s">
        <v>81</v>
      </c>
    </row>
    <row r="181" spans="1:5" x14ac:dyDescent="0.2">
      <c r="A181" s="82" t="s">
        <v>217</v>
      </c>
      <c r="B181" s="83">
        <f>ROUND((+B182+B190+B216),0)</f>
        <v>34974309022</v>
      </c>
      <c r="C181" s="83">
        <f>ROUND((+C182+C190+C216),0)</f>
        <v>30376021531</v>
      </c>
      <c r="D181" s="83">
        <f>ROUND((+D182+D190+D216),0)</f>
        <v>-4598287491</v>
      </c>
      <c r="E181" s="84">
        <f t="shared" ref="E181:E213" si="43">+C181/B181*100</f>
        <v>86.852385023225125</v>
      </c>
    </row>
    <row r="182" spans="1:5" x14ac:dyDescent="0.2">
      <c r="A182" s="90" t="s">
        <v>218</v>
      </c>
      <c r="B182" s="83">
        <f>ROUND(SUM(B183:B187),0)</f>
        <v>17988005166</v>
      </c>
      <c r="C182" s="83">
        <f t="shared" ref="C182:D182" si="44">ROUND(SUM(C183:C187),0)</f>
        <v>15510407007</v>
      </c>
      <c r="D182" s="83">
        <f t="shared" si="44"/>
        <v>-2477598159</v>
      </c>
      <c r="E182" s="84">
        <f t="shared" si="43"/>
        <v>86.226387327912107</v>
      </c>
    </row>
    <row r="183" spans="1:5" x14ac:dyDescent="0.2">
      <c r="A183" s="100" t="s">
        <v>219</v>
      </c>
      <c r="B183" s="86">
        <v>13075164118</v>
      </c>
      <c r="C183" s="87">
        <v>11499713141</v>
      </c>
      <c r="D183" s="86">
        <f t="shared" ref="D183:D187" si="45">+C183-B183</f>
        <v>-1575450977</v>
      </c>
      <c r="E183" s="88">
        <f t="shared" si="43"/>
        <v>87.950812985734188</v>
      </c>
    </row>
    <row r="184" spans="1:5" x14ac:dyDescent="0.2">
      <c r="A184" s="89" t="s">
        <v>220</v>
      </c>
      <c r="B184" s="86">
        <v>3330331398</v>
      </c>
      <c r="C184" s="87">
        <v>2690704341</v>
      </c>
      <c r="D184" s="86">
        <f t="shared" si="45"/>
        <v>-639627057</v>
      </c>
      <c r="E184" s="88">
        <f t="shared" si="43"/>
        <v>80.793891641410752</v>
      </c>
    </row>
    <row r="185" spans="1:5" x14ac:dyDescent="0.2">
      <c r="A185" s="89" t="s">
        <v>221</v>
      </c>
      <c r="B185" s="86">
        <v>389726585</v>
      </c>
      <c r="C185" s="87">
        <v>339377798</v>
      </c>
      <c r="D185" s="86">
        <f t="shared" si="45"/>
        <v>-50348787</v>
      </c>
      <c r="E185" s="88">
        <f t="shared" si="43"/>
        <v>87.080997566537576</v>
      </c>
    </row>
    <row r="186" spans="1:5" ht="25.5" x14ac:dyDescent="0.2">
      <c r="A186" s="89" t="s">
        <v>222</v>
      </c>
      <c r="B186" s="86">
        <v>384197713</v>
      </c>
      <c r="C186" s="87">
        <v>317225266</v>
      </c>
      <c r="D186" s="86">
        <f t="shared" si="45"/>
        <v>-66972447</v>
      </c>
      <c r="E186" s="88">
        <f t="shared" si="43"/>
        <v>82.568233819757282</v>
      </c>
    </row>
    <row r="187" spans="1:5" ht="39" customHeight="1" x14ac:dyDescent="0.2">
      <c r="A187" s="89" t="s">
        <v>223</v>
      </c>
      <c r="B187" s="86">
        <v>808585352</v>
      </c>
      <c r="C187" s="87">
        <v>663386461</v>
      </c>
      <c r="D187" s="86">
        <f t="shared" si="45"/>
        <v>-145198891</v>
      </c>
      <c r="E187" s="88">
        <f t="shared" si="43"/>
        <v>82.042849200661749</v>
      </c>
    </row>
    <row r="188" spans="1:5" ht="9" customHeight="1" thickBot="1" x14ac:dyDescent="0.25">
      <c r="A188" s="117"/>
      <c r="B188" s="97"/>
      <c r="C188" s="97"/>
      <c r="D188" s="97"/>
      <c r="E188" s="97"/>
    </row>
    <row r="189" spans="1:5" ht="13.5" thickBot="1" x14ac:dyDescent="0.25">
      <c r="A189" s="62" t="s">
        <v>77</v>
      </c>
      <c r="B189" s="63" t="s">
        <v>78</v>
      </c>
      <c r="C189" s="63" t="s">
        <v>79</v>
      </c>
      <c r="D189" s="64" t="s">
        <v>80</v>
      </c>
      <c r="E189" s="64" t="s">
        <v>81</v>
      </c>
    </row>
    <row r="190" spans="1:5" x14ac:dyDescent="0.2">
      <c r="A190" s="90" t="s">
        <v>224</v>
      </c>
      <c r="B190" s="83">
        <f>ROUND((+B191+B196+B197+B200+B201+B209+B210+B213),0)</f>
        <v>15419803856</v>
      </c>
      <c r="C190" s="83">
        <f>ROUND((+C191+C196+C197+C200+C201+C209+C210+C213),0)</f>
        <v>11210953804</v>
      </c>
      <c r="D190" s="83">
        <f>ROUND((+D191+D196+D197+D200+D201+D209+D210+D213),0)</f>
        <v>-4208850052</v>
      </c>
      <c r="E190" s="84">
        <f t="shared" si="43"/>
        <v>72.704905384627878</v>
      </c>
    </row>
    <row r="191" spans="1:5" ht="25.5" x14ac:dyDescent="0.2">
      <c r="A191" s="89" t="s">
        <v>225</v>
      </c>
      <c r="B191" s="91">
        <f>ROUND(SUM(B192:B195),0)</f>
        <v>8631444606</v>
      </c>
      <c r="C191" s="91">
        <f>ROUND(SUM(C192:C195),0)</f>
        <v>6208952443</v>
      </c>
      <c r="D191" s="91">
        <f>ROUND(SUM(D192:D195),0)</f>
        <v>-2422492163</v>
      </c>
      <c r="E191" s="84">
        <f t="shared" si="43"/>
        <v>71.934105198149041</v>
      </c>
    </row>
    <row r="192" spans="1:5" x14ac:dyDescent="0.2">
      <c r="A192" s="89" t="s">
        <v>226</v>
      </c>
      <c r="B192" s="87">
        <v>463434857</v>
      </c>
      <c r="C192" s="87">
        <v>324526876</v>
      </c>
      <c r="D192" s="86">
        <f t="shared" ref="D192:D217" si="46">+C192-B192</f>
        <v>-138907981</v>
      </c>
      <c r="E192" s="88">
        <f t="shared" si="43"/>
        <v>70.026427899876325</v>
      </c>
    </row>
    <row r="193" spans="1:5" x14ac:dyDescent="0.2">
      <c r="A193" s="89" t="s">
        <v>227</v>
      </c>
      <c r="B193" s="87">
        <v>294738354</v>
      </c>
      <c r="C193" s="87">
        <v>221364171</v>
      </c>
      <c r="D193" s="86">
        <f t="shared" si="46"/>
        <v>-73374183</v>
      </c>
      <c r="E193" s="88">
        <f t="shared" si="43"/>
        <v>75.105315611554232</v>
      </c>
    </row>
    <row r="194" spans="1:5" x14ac:dyDescent="0.2">
      <c r="A194" s="89" t="s">
        <v>228</v>
      </c>
      <c r="B194" s="87">
        <v>142758630</v>
      </c>
      <c r="C194" s="87">
        <v>106907244</v>
      </c>
      <c r="D194" s="86">
        <f t="shared" si="46"/>
        <v>-35851386</v>
      </c>
      <c r="E194" s="88">
        <f t="shared" si="43"/>
        <v>74.886711927678206</v>
      </c>
    </row>
    <row r="195" spans="1:5" x14ac:dyDescent="0.2">
      <c r="A195" s="89" t="s">
        <v>229</v>
      </c>
      <c r="B195" s="87">
        <v>7730512765</v>
      </c>
      <c r="C195" s="87">
        <v>5556154152</v>
      </c>
      <c r="D195" s="86">
        <f t="shared" si="46"/>
        <v>-2174358613</v>
      </c>
      <c r="E195" s="88">
        <f t="shared" si="43"/>
        <v>71.873035087084546</v>
      </c>
    </row>
    <row r="196" spans="1:5" x14ac:dyDescent="0.2">
      <c r="A196" s="89" t="s">
        <v>230</v>
      </c>
      <c r="B196" s="83">
        <v>2283970188</v>
      </c>
      <c r="C196" s="91">
        <v>1633259286</v>
      </c>
      <c r="D196" s="83">
        <f t="shared" si="46"/>
        <v>-650710902</v>
      </c>
      <c r="E196" s="84">
        <f t="shared" si="43"/>
        <v>71.5096586891177</v>
      </c>
    </row>
    <row r="197" spans="1:5" x14ac:dyDescent="0.2">
      <c r="A197" s="100" t="s">
        <v>231</v>
      </c>
      <c r="B197" s="83">
        <f>ROUND((+B198+B199),0)</f>
        <v>606210969</v>
      </c>
      <c r="C197" s="83">
        <f t="shared" ref="C197:D197" si="47">ROUND((+C198+C199),0)</f>
        <v>559908736</v>
      </c>
      <c r="D197" s="83">
        <f t="shared" si="47"/>
        <v>-46302233</v>
      </c>
      <c r="E197" s="88">
        <f t="shared" si="43"/>
        <v>92.362026527434864</v>
      </c>
    </row>
    <row r="198" spans="1:5" x14ac:dyDescent="0.2">
      <c r="A198" s="89" t="s">
        <v>232</v>
      </c>
      <c r="B198" s="86">
        <v>532729399</v>
      </c>
      <c r="C198" s="87">
        <v>490556518</v>
      </c>
      <c r="D198" s="86">
        <f t="shared" si="46"/>
        <v>-42172881</v>
      </c>
      <c r="E198" s="88">
        <f t="shared" si="43"/>
        <v>92.083620487406222</v>
      </c>
    </row>
    <row r="199" spans="1:5" x14ac:dyDescent="0.2">
      <c r="A199" s="89" t="s">
        <v>233</v>
      </c>
      <c r="B199" s="86">
        <v>73481570</v>
      </c>
      <c r="C199" s="87">
        <v>69352218</v>
      </c>
      <c r="D199" s="86">
        <f t="shared" si="46"/>
        <v>-4129352</v>
      </c>
      <c r="E199" s="88">
        <f t="shared" si="43"/>
        <v>94.380424914709906</v>
      </c>
    </row>
    <row r="200" spans="1:5" ht="38.25" x14ac:dyDescent="0.2">
      <c r="A200" s="89" t="s">
        <v>234</v>
      </c>
      <c r="B200" s="83">
        <v>1640966574</v>
      </c>
      <c r="C200" s="91">
        <v>1229496775</v>
      </c>
      <c r="D200" s="83">
        <f t="shared" si="46"/>
        <v>-411469799</v>
      </c>
      <c r="E200" s="84">
        <f t="shared" si="43"/>
        <v>74.925156580307046</v>
      </c>
    </row>
    <row r="201" spans="1:5" x14ac:dyDescent="0.2">
      <c r="A201" s="89" t="s">
        <v>235</v>
      </c>
      <c r="B201" s="83">
        <f>ROUND(SUM(B202:B208),0)</f>
        <v>787393555</v>
      </c>
      <c r="C201" s="83">
        <f t="shared" ref="C201:D201" si="48">ROUND(SUM(C202:C208),0)</f>
        <v>427536443</v>
      </c>
      <c r="D201" s="83">
        <f t="shared" si="48"/>
        <v>-359857112</v>
      </c>
      <c r="E201" s="84">
        <f t="shared" si="43"/>
        <v>54.297681291028596</v>
      </c>
    </row>
    <row r="202" spans="1:5" x14ac:dyDescent="0.2">
      <c r="A202" s="100" t="s">
        <v>236</v>
      </c>
      <c r="B202" s="86">
        <v>176481551</v>
      </c>
      <c r="C202" s="87">
        <v>135001677</v>
      </c>
      <c r="D202" s="86">
        <f t="shared" si="46"/>
        <v>-41479874</v>
      </c>
      <c r="E202" s="88">
        <f t="shared" si="43"/>
        <v>76.496198177678082</v>
      </c>
    </row>
    <row r="203" spans="1:5" x14ac:dyDescent="0.2">
      <c r="A203" s="89" t="s">
        <v>237</v>
      </c>
      <c r="B203" s="86">
        <v>173025461</v>
      </c>
      <c r="C203" s="87">
        <v>71005239</v>
      </c>
      <c r="D203" s="86">
        <f t="shared" si="46"/>
        <v>-102020222</v>
      </c>
      <c r="E203" s="88">
        <f t="shared" si="43"/>
        <v>41.037451129807998</v>
      </c>
    </row>
    <row r="204" spans="1:5" x14ac:dyDescent="0.2">
      <c r="A204" s="89" t="s">
        <v>238</v>
      </c>
      <c r="B204" s="86">
        <v>98556609</v>
      </c>
      <c r="C204" s="87">
        <v>86598858</v>
      </c>
      <c r="D204" s="86">
        <f t="shared" si="46"/>
        <v>-11957751</v>
      </c>
      <c r="E204" s="88">
        <f t="shared" si="43"/>
        <v>87.867124162114791</v>
      </c>
    </row>
    <row r="205" spans="1:5" x14ac:dyDescent="0.2">
      <c r="A205" s="89" t="s">
        <v>239</v>
      </c>
      <c r="B205" s="86">
        <v>12406559</v>
      </c>
      <c r="C205" s="87">
        <v>5508798</v>
      </c>
      <c r="D205" s="86">
        <f t="shared" si="46"/>
        <v>-6897761</v>
      </c>
      <c r="E205" s="88">
        <f t="shared" si="43"/>
        <v>44.402303652447067</v>
      </c>
    </row>
    <row r="206" spans="1:5" x14ac:dyDescent="0.2">
      <c r="A206" s="89" t="s">
        <v>240</v>
      </c>
      <c r="B206" s="86">
        <v>168200000</v>
      </c>
      <c r="C206" s="87">
        <v>65340845</v>
      </c>
      <c r="D206" s="86">
        <f t="shared" si="46"/>
        <v>-102859155</v>
      </c>
      <c r="E206" s="88">
        <f t="shared" si="43"/>
        <v>38.847113555291315</v>
      </c>
    </row>
    <row r="207" spans="1:5" x14ac:dyDescent="0.2">
      <c r="A207" s="89" t="s">
        <v>241</v>
      </c>
      <c r="B207" s="86">
        <v>131224447</v>
      </c>
      <c r="C207" s="87">
        <v>58955988</v>
      </c>
      <c r="D207" s="86">
        <f t="shared" si="46"/>
        <v>-72268459</v>
      </c>
      <c r="E207" s="88">
        <f t="shared" si="43"/>
        <v>44.927594932063229</v>
      </c>
    </row>
    <row r="208" spans="1:5" ht="25.5" x14ac:dyDescent="0.2">
      <c r="A208" s="89" t="s">
        <v>242</v>
      </c>
      <c r="B208" s="86">
        <v>27498928</v>
      </c>
      <c r="C208" s="87">
        <v>5125038</v>
      </c>
      <c r="D208" s="86">
        <f t="shared" si="46"/>
        <v>-22373890</v>
      </c>
      <c r="E208" s="88">
        <f t="shared" si="43"/>
        <v>18.637228331228041</v>
      </c>
    </row>
    <row r="209" spans="1:5" x14ac:dyDescent="0.2">
      <c r="A209" s="89" t="s">
        <v>243</v>
      </c>
      <c r="B209" s="83">
        <v>299726465</v>
      </c>
      <c r="C209" s="91">
        <v>274372722</v>
      </c>
      <c r="D209" s="83">
        <f t="shared" si="46"/>
        <v>-25353743</v>
      </c>
      <c r="E209" s="84">
        <f t="shared" si="43"/>
        <v>91.541039594218006</v>
      </c>
    </row>
    <row r="210" spans="1:5" ht="25.5" x14ac:dyDescent="0.2">
      <c r="A210" s="89" t="s">
        <v>244</v>
      </c>
      <c r="B210" s="83">
        <f>ROUND((+B211+B212),0)</f>
        <v>285959780</v>
      </c>
      <c r="C210" s="83">
        <f>ROUND((+C211+C212),0)</f>
        <v>201407826</v>
      </c>
      <c r="D210" s="83">
        <f>ROUND((+D211+D212),0)</f>
        <v>-84551954</v>
      </c>
      <c r="E210" s="84">
        <f t="shared" si="43"/>
        <v>70.432221622215536</v>
      </c>
    </row>
    <row r="211" spans="1:5" x14ac:dyDescent="0.2">
      <c r="A211" s="100" t="s">
        <v>245</v>
      </c>
      <c r="B211" s="86">
        <v>215672768</v>
      </c>
      <c r="C211" s="87">
        <v>149630868</v>
      </c>
      <c r="D211" s="86">
        <f t="shared" si="46"/>
        <v>-66041900</v>
      </c>
      <c r="E211" s="88">
        <f t="shared" si="43"/>
        <v>69.378656094403169</v>
      </c>
    </row>
    <row r="212" spans="1:5" x14ac:dyDescent="0.2">
      <c r="A212" s="89" t="s">
        <v>246</v>
      </c>
      <c r="B212" s="86">
        <v>70287012</v>
      </c>
      <c r="C212" s="87">
        <v>51776958</v>
      </c>
      <c r="D212" s="86">
        <f t="shared" si="46"/>
        <v>-18510054</v>
      </c>
      <c r="E212" s="88">
        <f t="shared" si="43"/>
        <v>73.665043550293476</v>
      </c>
    </row>
    <row r="213" spans="1:5" ht="25.5" x14ac:dyDescent="0.2">
      <c r="A213" s="100" t="s">
        <v>247</v>
      </c>
      <c r="B213" s="83">
        <v>884131719</v>
      </c>
      <c r="C213" s="91">
        <v>676019573</v>
      </c>
      <c r="D213" s="83">
        <f t="shared" si="46"/>
        <v>-208112146</v>
      </c>
      <c r="E213" s="84">
        <f t="shared" si="43"/>
        <v>76.461409366085647</v>
      </c>
    </row>
    <row r="214" spans="1:5" ht="9" customHeight="1" thickBot="1" x14ac:dyDescent="0.25">
      <c r="A214" s="117"/>
      <c r="B214" s="97"/>
      <c r="C214" s="97"/>
      <c r="D214" s="97"/>
      <c r="E214" s="97"/>
    </row>
    <row r="215" spans="1:5" ht="13.5" thickBot="1" x14ac:dyDescent="0.25">
      <c r="A215" s="62" t="s">
        <v>77</v>
      </c>
      <c r="B215" s="63" t="s">
        <v>78</v>
      </c>
      <c r="C215" s="63" t="s">
        <v>79</v>
      </c>
      <c r="D215" s="64" t="s">
        <v>80</v>
      </c>
      <c r="E215" s="64" t="s">
        <v>81</v>
      </c>
    </row>
    <row r="216" spans="1:5" x14ac:dyDescent="0.2">
      <c r="A216" s="90" t="s">
        <v>248</v>
      </c>
      <c r="B216" s="83">
        <f>ROUND(+B217,0)</f>
        <v>1566500000</v>
      </c>
      <c r="C216" s="83">
        <f t="shared" ref="C216:D216" si="49">ROUND(+C217,0)</f>
        <v>3654660720</v>
      </c>
      <c r="D216" s="83">
        <f t="shared" si="49"/>
        <v>2088160720</v>
      </c>
      <c r="E216" s="84">
        <f>+C216/B216*100</f>
        <v>233.30103542930098</v>
      </c>
    </row>
    <row r="217" spans="1:5" ht="26.25" thickBot="1" x14ac:dyDescent="0.25">
      <c r="A217" s="121" t="s">
        <v>249</v>
      </c>
      <c r="B217" s="93">
        <v>1566500000</v>
      </c>
      <c r="C217" s="104">
        <v>3654660720</v>
      </c>
      <c r="D217" s="93">
        <f t="shared" si="46"/>
        <v>2088160720</v>
      </c>
      <c r="E217" s="95">
        <f t="shared" ref="E217" si="50">+C217/B217*100</f>
        <v>233.30103542930098</v>
      </c>
    </row>
    <row r="218" spans="1:5" x14ac:dyDescent="0.2">
      <c r="C218" s="114"/>
    </row>
    <row r="219" spans="1:5" ht="9" customHeight="1" thickBot="1" x14ac:dyDescent="0.25">
      <c r="A219" s="117"/>
      <c r="B219" s="97"/>
      <c r="C219" s="97"/>
      <c r="D219" s="97"/>
      <c r="E219" s="97"/>
    </row>
    <row r="220" spans="1:5" ht="13.5" thickBot="1" x14ac:dyDescent="0.25">
      <c r="A220" s="62" t="s">
        <v>77</v>
      </c>
      <c r="B220" s="63" t="s">
        <v>78</v>
      </c>
      <c r="C220" s="63" t="s">
        <v>79</v>
      </c>
      <c r="D220" s="64" t="s">
        <v>80</v>
      </c>
      <c r="E220" s="64" t="s">
        <v>81</v>
      </c>
    </row>
    <row r="221" spans="1:5" ht="25.5" x14ac:dyDescent="0.2">
      <c r="A221" s="90" t="s">
        <v>89</v>
      </c>
      <c r="B221" s="83">
        <f>ROUND((+B222+B291+B316),0)</f>
        <v>10354897933</v>
      </c>
      <c r="C221" s="83">
        <f>ROUND((+C222+C291+C316),0)</f>
        <v>8012974422</v>
      </c>
      <c r="D221" s="83">
        <f>ROUND((+D222+D291+D316),0)</f>
        <v>-2203567088</v>
      </c>
      <c r="E221" s="84">
        <f>+C221/B221*100</f>
        <v>77.383422548893222</v>
      </c>
    </row>
    <row r="222" spans="1:5" x14ac:dyDescent="0.2">
      <c r="A222" s="90" t="s">
        <v>250</v>
      </c>
      <c r="B222" s="91">
        <f>ROUND((+B223+B279+B284+B286+B288),0)</f>
        <v>7186770866</v>
      </c>
      <c r="C222" s="91">
        <f>ROUND((+C223+C279+C284+C286+C288),0)</f>
        <v>5493706036</v>
      </c>
      <c r="D222" s="91">
        <f>ROUND((+D223+D279+D284+D286+D288),0)</f>
        <v>-1554708407</v>
      </c>
      <c r="E222" s="84">
        <f t="shared" ref="E222:E291" si="51">+C222/B222*100</f>
        <v>76.441925566185148</v>
      </c>
    </row>
    <row r="223" spans="1:5" x14ac:dyDescent="0.2">
      <c r="A223" s="90" t="s">
        <v>251</v>
      </c>
      <c r="B223" s="83">
        <f>ROUND(SUM(B224:B278),0)</f>
        <v>1179798337</v>
      </c>
      <c r="C223" s="83">
        <f>ROUND(SUM(C224:C278),0)</f>
        <v>1407195780</v>
      </c>
      <c r="D223" s="83">
        <f>ROUND(SUM(D224:D278),0)</f>
        <v>227397443</v>
      </c>
      <c r="E223" s="84">
        <f t="shared" si="51"/>
        <v>119.27426373376892</v>
      </c>
    </row>
    <row r="224" spans="1:5" x14ac:dyDescent="0.2">
      <c r="A224" s="122" t="s">
        <v>252</v>
      </c>
      <c r="B224" s="86">
        <v>14500000</v>
      </c>
      <c r="C224" s="86">
        <v>8235849</v>
      </c>
      <c r="D224" s="86">
        <f t="shared" ref="D224:D283" si="52">+C224-B224</f>
        <v>-6264151</v>
      </c>
      <c r="E224" s="88">
        <f t="shared" si="51"/>
        <v>56.798958620689653</v>
      </c>
    </row>
    <row r="225" spans="1:6" x14ac:dyDescent="0.2">
      <c r="A225" s="123" t="s">
        <v>253</v>
      </c>
      <c r="B225" s="86">
        <v>182245643</v>
      </c>
      <c r="C225" s="86">
        <v>181005511</v>
      </c>
      <c r="D225" s="86">
        <f t="shared" si="52"/>
        <v>-1240132</v>
      </c>
      <c r="E225" s="88">
        <f t="shared" si="51"/>
        <v>99.319527216351617</v>
      </c>
      <c r="F225" s="61"/>
    </row>
    <row r="226" spans="1:6" x14ac:dyDescent="0.2">
      <c r="A226" s="123" t="s">
        <v>254</v>
      </c>
      <c r="B226" s="86">
        <v>2237536</v>
      </c>
      <c r="C226" s="86">
        <v>1985296</v>
      </c>
      <c r="D226" s="86">
        <f t="shared" si="52"/>
        <v>-252240</v>
      </c>
      <c r="E226" s="88">
        <f t="shared" si="51"/>
        <v>88.726885288102636</v>
      </c>
      <c r="F226" s="61"/>
    </row>
    <row r="227" spans="1:6" x14ac:dyDescent="0.2">
      <c r="A227" s="123" t="s">
        <v>255</v>
      </c>
      <c r="B227" s="86">
        <v>6061955</v>
      </c>
      <c r="C227" s="86">
        <v>4869121</v>
      </c>
      <c r="D227" s="86">
        <f t="shared" si="52"/>
        <v>-1192834</v>
      </c>
      <c r="E227" s="88">
        <f t="shared" si="51"/>
        <v>80.322618693144378</v>
      </c>
      <c r="F227" s="61"/>
    </row>
    <row r="228" spans="1:6" x14ac:dyDescent="0.2">
      <c r="A228" s="123" t="s">
        <v>256</v>
      </c>
      <c r="B228" s="86">
        <v>1851595</v>
      </c>
      <c r="C228" s="86">
        <v>2046196</v>
      </c>
      <c r="D228" s="86">
        <f t="shared" si="52"/>
        <v>194601</v>
      </c>
      <c r="E228" s="88">
        <f t="shared" si="51"/>
        <v>110.50991172475622</v>
      </c>
      <c r="F228" s="61"/>
    </row>
    <row r="229" spans="1:6" x14ac:dyDescent="0.2">
      <c r="A229" s="123" t="s">
        <v>257</v>
      </c>
      <c r="B229" s="86">
        <v>26623600</v>
      </c>
      <c r="C229" s="86">
        <v>23106572</v>
      </c>
      <c r="D229" s="86">
        <f t="shared" si="52"/>
        <v>-3517028</v>
      </c>
      <c r="E229" s="88">
        <f t="shared" si="51"/>
        <v>86.789810544028612</v>
      </c>
      <c r="F229" s="61"/>
    </row>
    <row r="230" spans="1:6" x14ac:dyDescent="0.2">
      <c r="A230" s="123" t="s">
        <v>258</v>
      </c>
      <c r="B230" s="86">
        <v>570684</v>
      </c>
      <c r="C230" s="86">
        <v>581665</v>
      </c>
      <c r="D230" s="86">
        <f t="shared" si="52"/>
        <v>10981</v>
      </c>
      <c r="E230" s="88">
        <f t="shared" si="51"/>
        <v>101.92418220941887</v>
      </c>
      <c r="F230" s="61"/>
    </row>
    <row r="231" spans="1:6" x14ac:dyDescent="0.2">
      <c r="A231" s="123" t="s">
        <v>259</v>
      </c>
      <c r="B231" s="86">
        <v>105350233</v>
      </c>
      <c r="C231" s="86">
        <v>99205523</v>
      </c>
      <c r="D231" s="86">
        <f t="shared" si="52"/>
        <v>-6144710</v>
      </c>
      <c r="E231" s="88">
        <f t="shared" si="51"/>
        <v>94.167350346534121</v>
      </c>
      <c r="F231" s="61"/>
    </row>
    <row r="232" spans="1:6" x14ac:dyDescent="0.2">
      <c r="A232" s="123" t="s">
        <v>260</v>
      </c>
      <c r="B232" s="86">
        <v>5000000</v>
      </c>
      <c r="C232" s="86">
        <v>8474878</v>
      </c>
      <c r="D232" s="101">
        <f t="shared" si="52"/>
        <v>3474878</v>
      </c>
      <c r="E232" s="88">
        <f t="shared" si="51"/>
        <v>169.49755999999999</v>
      </c>
      <c r="F232" s="61"/>
    </row>
    <row r="233" spans="1:6" ht="25.5" x14ac:dyDescent="0.2">
      <c r="A233" s="123" t="s">
        <v>261</v>
      </c>
      <c r="B233" s="86">
        <v>10026689</v>
      </c>
      <c r="C233" s="86">
        <v>11051515</v>
      </c>
      <c r="D233" s="86">
        <f t="shared" si="52"/>
        <v>1024826</v>
      </c>
      <c r="E233" s="88">
        <f t="shared" si="51"/>
        <v>110.22098122321337</v>
      </c>
      <c r="F233" s="61"/>
    </row>
    <row r="234" spans="1:6" x14ac:dyDescent="0.2">
      <c r="A234" s="123" t="s">
        <v>262</v>
      </c>
      <c r="B234" s="86">
        <v>2164839</v>
      </c>
      <c r="C234" s="86">
        <v>115522234</v>
      </c>
      <c r="D234" s="86">
        <f t="shared" si="52"/>
        <v>113357395</v>
      </c>
      <c r="E234" s="88">
        <f t="shared" si="51"/>
        <v>5336.2967869666054</v>
      </c>
      <c r="F234" s="61"/>
    </row>
    <row r="235" spans="1:6" ht="25.5" x14ac:dyDescent="0.2">
      <c r="A235" s="123" t="s">
        <v>263</v>
      </c>
      <c r="B235" s="86">
        <v>0</v>
      </c>
      <c r="C235" s="86">
        <v>121346548</v>
      </c>
      <c r="D235" s="86">
        <f t="shared" si="52"/>
        <v>121346548</v>
      </c>
      <c r="E235" s="88">
        <v>100</v>
      </c>
      <c r="F235" s="61"/>
    </row>
    <row r="236" spans="1:6" ht="25.5" x14ac:dyDescent="0.2">
      <c r="A236" s="123" t="s">
        <v>264</v>
      </c>
      <c r="B236" s="86">
        <v>61124654</v>
      </c>
      <c r="C236" s="86">
        <v>45966220</v>
      </c>
      <c r="D236" s="86">
        <f t="shared" si="52"/>
        <v>-15158434</v>
      </c>
      <c r="E236" s="88">
        <f t="shared" si="51"/>
        <v>75.200785594630943</v>
      </c>
      <c r="F236" s="61"/>
    </row>
    <row r="237" spans="1:6" x14ac:dyDescent="0.2">
      <c r="A237" s="123" t="s">
        <v>265</v>
      </c>
      <c r="B237" s="86">
        <v>32212900</v>
      </c>
      <c r="C237" s="86">
        <v>28638397</v>
      </c>
      <c r="D237" s="101">
        <f t="shared" si="52"/>
        <v>-3574503</v>
      </c>
      <c r="E237" s="88">
        <f t="shared" si="51"/>
        <v>88.903504496645752</v>
      </c>
      <c r="F237" s="61"/>
    </row>
    <row r="238" spans="1:6" x14ac:dyDescent="0.2">
      <c r="A238" s="123" t="s">
        <v>266</v>
      </c>
      <c r="B238" s="86">
        <v>10930700</v>
      </c>
      <c r="C238" s="86">
        <v>23033782</v>
      </c>
      <c r="D238" s="101">
        <f t="shared" si="52"/>
        <v>12103082</v>
      </c>
      <c r="E238" s="88">
        <f t="shared" si="51"/>
        <v>210.72558939500672</v>
      </c>
      <c r="F238" s="61"/>
    </row>
    <row r="239" spans="1:6" x14ac:dyDescent="0.2">
      <c r="A239" s="123" t="s">
        <v>267</v>
      </c>
      <c r="B239" s="86">
        <v>10655170</v>
      </c>
      <c r="C239" s="86">
        <v>12138985</v>
      </c>
      <c r="D239" s="86">
        <f t="shared" si="52"/>
        <v>1483815</v>
      </c>
      <c r="E239" s="88">
        <f t="shared" si="51"/>
        <v>113.92577499936651</v>
      </c>
      <c r="F239" s="61"/>
    </row>
    <row r="240" spans="1:6" x14ac:dyDescent="0.2">
      <c r="A240" s="123" t="s">
        <v>268</v>
      </c>
      <c r="B240" s="86">
        <v>7640108</v>
      </c>
      <c r="C240" s="86">
        <v>6992989</v>
      </c>
      <c r="D240" s="101">
        <f t="shared" si="52"/>
        <v>-647119</v>
      </c>
      <c r="E240" s="88">
        <f t="shared" si="51"/>
        <v>91.529975754269444</v>
      </c>
      <c r="F240" s="61"/>
    </row>
    <row r="241" spans="1:6" x14ac:dyDescent="0.2">
      <c r="A241" s="123" t="s">
        <v>269</v>
      </c>
      <c r="B241" s="86">
        <v>8707922</v>
      </c>
      <c r="C241" s="86">
        <v>6804086</v>
      </c>
      <c r="D241" s="101">
        <f t="shared" si="52"/>
        <v>-1903836</v>
      </c>
      <c r="E241" s="88">
        <f t="shared" si="51"/>
        <v>78.13673572179448</v>
      </c>
      <c r="F241" s="61"/>
    </row>
    <row r="242" spans="1:6" x14ac:dyDescent="0.2">
      <c r="A242" s="123" t="s">
        <v>270</v>
      </c>
      <c r="B242" s="86">
        <v>2093980</v>
      </c>
      <c r="C242" s="86">
        <v>2192684</v>
      </c>
      <c r="D242" s="101">
        <f t="shared" si="52"/>
        <v>98704</v>
      </c>
      <c r="E242" s="88">
        <f t="shared" si="51"/>
        <v>104.71370309172008</v>
      </c>
      <c r="F242" s="61"/>
    </row>
    <row r="243" spans="1:6" ht="9" customHeight="1" thickBot="1" x14ac:dyDescent="0.25">
      <c r="A243" s="117"/>
      <c r="B243" s="97"/>
      <c r="C243" s="97"/>
      <c r="D243" s="97"/>
      <c r="E243" s="97"/>
    </row>
    <row r="244" spans="1:6" ht="13.5" thickBot="1" x14ac:dyDescent="0.25">
      <c r="A244" s="62" t="s">
        <v>77</v>
      </c>
      <c r="B244" s="63" t="s">
        <v>78</v>
      </c>
      <c r="C244" s="63" t="s">
        <v>79</v>
      </c>
      <c r="D244" s="64" t="s">
        <v>80</v>
      </c>
      <c r="E244" s="64" t="s">
        <v>81</v>
      </c>
      <c r="F244" s="61"/>
    </row>
    <row r="245" spans="1:6" x14ac:dyDescent="0.2">
      <c r="A245" s="123" t="s">
        <v>271</v>
      </c>
      <c r="B245" s="86">
        <v>83723268</v>
      </c>
      <c r="C245" s="86">
        <v>103699887</v>
      </c>
      <c r="D245" s="86">
        <f t="shared" si="52"/>
        <v>19976619</v>
      </c>
      <c r="E245" s="88">
        <f t="shared" si="51"/>
        <v>123.86029532435356</v>
      </c>
      <c r="F245" s="61"/>
    </row>
    <row r="246" spans="1:6" ht="25.5" x14ac:dyDescent="0.2">
      <c r="A246" s="123" t="s">
        <v>272</v>
      </c>
      <c r="B246" s="86">
        <v>93672621</v>
      </c>
      <c r="C246" s="86">
        <v>28373549</v>
      </c>
      <c r="D246" s="86">
        <f t="shared" si="52"/>
        <v>-65299072</v>
      </c>
      <c r="E246" s="88">
        <f t="shared" si="51"/>
        <v>30.290119671147025</v>
      </c>
      <c r="F246" s="61"/>
    </row>
    <row r="247" spans="1:6" ht="25.5" x14ac:dyDescent="0.2">
      <c r="A247" s="123" t="s">
        <v>273</v>
      </c>
      <c r="B247" s="86">
        <v>3808456</v>
      </c>
      <c r="C247" s="86">
        <v>10315156</v>
      </c>
      <c r="D247" s="86">
        <f t="shared" si="52"/>
        <v>6506700</v>
      </c>
      <c r="E247" s="88">
        <f t="shared" si="51"/>
        <v>270.84876390852355</v>
      </c>
      <c r="F247" s="61"/>
    </row>
    <row r="248" spans="1:6" x14ac:dyDescent="0.2">
      <c r="A248" s="123" t="s">
        <v>274</v>
      </c>
      <c r="B248" s="86">
        <v>184423772</v>
      </c>
      <c r="C248" s="86">
        <v>164325198</v>
      </c>
      <c r="D248" s="101">
        <f t="shared" si="52"/>
        <v>-20098574</v>
      </c>
      <c r="E248" s="88">
        <f t="shared" si="51"/>
        <v>89.101961324161621</v>
      </c>
      <c r="F248" s="61"/>
    </row>
    <row r="249" spans="1:6" x14ac:dyDescent="0.2">
      <c r="A249" s="123" t="s">
        <v>275</v>
      </c>
      <c r="B249" s="86">
        <v>2067960</v>
      </c>
      <c r="C249" s="86">
        <v>1269625</v>
      </c>
      <c r="D249" s="101">
        <f t="shared" si="52"/>
        <v>-798335</v>
      </c>
      <c r="E249" s="88">
        <f t="shared" si="51"/>
        <v>61.395046325847687</v>
      </c>
      <c r="F249" s="61"/>
    </row>
    <row r="250" spans="1:6" x14ac:dyDescent="0.2">
      <c r="A250" s="123" t="s">
        <v>276</v>
      </c>
      <c r="B250" s="86">
        <v>1040640</v>
      </c>
      <c r="C250" s="86">
        <v>4960602</v>
      </c>
      <c r="D250" s="101">
        <f t="shared" si="52"/>
        <v>3919962</v>
      </c>
      <c r="E250" s="88">
        <f t="shared" si="51"/>
        <v>476.68761531365317</v>
      </c>
      <c r="F250" s="61"/>
    </row>
    <row r="251" spans="1:6" x14ac:dyDescent="0.2">
      <c r="A251" s="123" t="s">
        <v>277</v>
      </c>
      <c r="B251" s="86">
        <v>1400000</v>
      </c>
      <c r="C251" s="86">
        <v>1106974</v>
      </c>
      <c r="D251" s="101">
        <f t="shared" si="52"/>
        <v>-293026</v>
      </c>
      <c r="E251" s="88">
        <f t="shared" si="51"/>
        <v>79.069571428571422</v>
      </c>
      <c r="F251" s="61"/>
    </row>
    <row r="252" spans="1:6" x14ac:dyDescent="0.2">
      <c r="A252" s="123" t="s">
        <v>278</v>
      </c>
      <c r="B252" s="86">
        <v>164655450</v>
      </c>
      <c r="C252" s="86">
        <v>185752118</v>
      </c>
      <c r="D252" s="101">
        <f t="shared" si="52"/>
        <v>21096668</v>
      </c>
      <c r="E252" s="88">
        <f t="shared" si="51"/>
        <v>112.81261446250338</v>
      </c>
      <c r="F252" s="61"/>
    </row>
    <row r="253" spans="1:6" x14ac:dyDescent="0.2">
      <c r="A253" s="123" t="s">
        <v>279</v>
      </c>
      <c r="B253" s="86">
        <v>16412286</v>
      </c>
      <c r="C253" s="86">
        <v>11622675</v>
      </c>
      <c r="D253" s="101">
        <f t="shared" si="52"/>
        <v>-4789611</v>
      </c>
      <c r="E253" s="88">
        <f t="shared" si="51"/>
        <v>70.816917277702814</v>
      </c>
      <c r="F253" s="61"/>
    </row>
    <row r="254" spans="1:6" x14ac:dyDescent="0.2">
      <c r="A254" s="123" t="s">
        <v>280</v>
      </c>
      <c r="B254" s="86">
        <v>756230</v>
      </c>
      <c r="C254" s="86">
        <v>586974</v>
      </c>
      <c r="D254" s="101">
        <f t="shared" si="52"/>
        <v>-169256</v>
      </c>
      <c r="E254" s="88">
        <f t="shared" si="51"/>
        <v>77.618449413538201</v>
      </c>
      <c r="F254" s="61"/>
    </row>
    <row r="255" spans="1:6" x14ac:dyDescent="0.2">
      <c r="A255" s="123" t="s">
        <v>281</v>
      </c>
      <c r="B255" s="86">
        <v>21800000</v>
      </c>
      <c r="C255" s="86">
        <v>6103222</v>
      </c>
      <c r="D255" s="101">
        <f t="shared" si="52"/>
        <v>-15696778</v>
      </c>
      <c r="E255" s="88">
        <f t="shared" si="51"/>
        <v>27.996431192660548</v>
      </c>
      <c r="F255" s="61"/>
    </row>
    <row r="256" spans="1:6" x14ac:dyDescent="0.2">
      <c r="A256" s="123" t="s">
        <v>282</v>
      </c>
      <c r="B256" s="86">
        <v>407500</v>
      </c>
      <c r="C256" s="86">
        <v>1083355</v>
      </c>
      <c r="D256" s="101">
        <f t="shared" si="52"/>
        <v>675855</v>
      </c>
      <c r="E256" s="88">
        <f t="shared" si="51"/>
        <v>265.85398773006136</v>
      </c>
      <c r="F256" s="61"/>
    </row>
    <row r="257" spans="1:6" x14ac:dyDescent="0.2">
      <c r="A257" s="122" t="s">
        <v>283</v>
      </c>
      <c r="B257" s="86">
        <v>318029</v>
      </c>
      <c r="C257" s="86">
        <v>2337490</v>
      </c>
      <c r="D257" s="101">
        <f t="shared" si="52"/>
        <v>2019461</v>
      </c>
      <c r="E257" s="88">
        <f t="shared" si="51"/>
        <v>734.99272078961349</v>
      </c>
      <c r="F257" s="61"/>
    </row>
    <row r="258" spans="1:6" x14ac:dyDescent="0.2">
      <c r="A258" s="123" t="s">
        <v>284</v>
      </c>
      <c r="B258" s="86">
        <v>103000</v>
      </c>
      <c r="C258" s="86">
        <v>57660</v>
      </c>
      <c r="D258" s="101">
        <f t="shared" si="52"/>
        <v>-45340</v>
      </c>
      <c r="E258" s="88">
        <f t="shared" si="51"/>
        <v>55.980582524271853</v>
      </c>
      <c r="F258" s="61"/>
    </row>
    <row r="259" spans="1:6" x14ac:dyDescent="0.2">
      <c r="A259" s="123" t="s">
        <v>285</v>
      </c>
      <c r="B259" s="86">
        <v>3195938</v>
      </c>
      <c r="C259" s="86">
        <v>3111940</v>
      </c>
      <c r="D259" s="101">
        <f t="shared" si="52"/>
        <v>-83998</v>
      </c>
      <c r="E259" s="88">
        <f t="shared" si="51"/>
        <v>97.371726234989538</v>
      </c>
      <c r="F259" s="61"/>
    </row>
    <row r="260" spans="1:6" x14ac:dyDescent="0.2">
      <c r="A260" s="123" t="s">
        <v>286</v>
      </c>
      <c r="B260" s="86">
        <v>1416890</v>
      </c>
      <c r="C260" s="86">
        <v>1831204</v>
      </c>
      <c r="D260" s="101">
        <f t="shared" si="52"/>
        <v>414314</v>
      </c>
      <c r="E260" s="88">
        <f t="shared" si="51"/>
        <v>129.24108434670299</v>
      </c>
      <c r="F260" s="61"/>
    </row>
    <row r="261" spans="1:6" x14ac:dyDescent="0.2">
      <c r="A261" s="123" t="s">
        <v>287</v>
      </c>
      <c r="B261" s="86">
        <v>1500000</v>
      </c>
      <c r="C261" s="86">
        <v>1789768</v>
      </c>
      <c r="D261" s="101">
        <f t="shared" si="52"/>
        <v>289768</v>
      </c>
      <c r="E261" s="88">
        <f t="shared" si="51"/>
        <v>119.31786666666666</v>
      </c>
      <c r="F261" s="61"/>
    </row>
    <row r="262" spans="1:6" x14ac:dyDescent="0.2">
      <c r="A262" s="123" t="s">
        <v>288</v>
      </c>
      <c r="B262" s="86">
        <v>2995717</v>
      </c>
      <c r="C262" s="86">
        <v>5350796</v>
      </c>
      <c r="D262" s="101">
        <f t="shared" si="52"/>
        <v>2355079</v>
      </c>
      <c r="E262" s="88">
        <f t="shared" si="51"/>
        <v>178.61486916153964</v>
      </c>
      <c r="F262" s="61"/>
    </row>
    <row r="263" spans="1:6" x14ac:dyDescent="0.2">
      <c r="A263" s="123" t="s">
        <v>289</v>
      </c>
      <c r="B263" s="86">
        <v>2306720</v>
      </c>
      <c r="C263" s="86">
        <v>3596049</v>
      </c>
      <c r="D263" s="101">
        <f t="shared" si="52"/>
        <v>1289329</v>
      </c>
      <c r="E263" s="88">
        <f t="shared" si="51"/>
        <v>155.89447353818409</v>
      </c>
      <c r="F263" s="61"/>
    </row>
    <row r="264" spans="1:6" x14ac:dyDescent="0.2">
      <c r="A264" s="123" t="s">
        <v>290</v>
      </c>
      <c r="B264" s="86">
        <v>76790252</v>
      </c>
      <c r="C264" s="86">
        <v>99254592</v>
      </c>
      <c r="D264" s="101">
        <f t="shared" si="52"/>
        <v>22464340</v>
      </c>
      <c r="E264" s="88">
        <f t="shared" si="51"/>
        <v>129.25415585301116</v>
      </c>
      <c r="F264" s="61"/>
    </row>
    <row r="265" spans="1:6" x14ac:dyDescent="0.2">
      <c r="A265" s="123" t="s">
        <v>291</v>
      </c>
      <c r="B265" s="86">
        <v>10370000</v>
      </c>
      <c r="C265" s="86">
        <v>5806500</v>
      </c>
      <c r="D265" s="101">
        <f t="shared" si="52"/>
        <v>-4563500</v>
      </c>
      <c r="E265" s="88">
        <f t="shared" si="51"/>
        <v>55.993249758919958</v>
      </c>
      <c r="F265" s="61"/>
    </row>
    <row r="266" spans="1:6" ht="25.5" x14ac:dyDescent="0.2">
      <c r="A266" s="123" t="s">
        <v>292</v>
      </c>
      <c r="B266" s="86">
        <v>250000</v>
      </c>
      <c r="C266" s="86">
        <v>5743</v>
      </c>
      <c r="D266" s="86">
        <f t="shared" si="52"/>
        <v>-244257</v>
      </c>
      <c r="E266" s="88">
        <f t="shared" si="51"/>
        <v>2.2972000000000001</v>
      </c>
      <c r="F266" s="61"/>
    </row>
    <row r="267" spans="1:6" x14ac:dyDescent="0.2">
      <c r="A267" s="123" t="s">
        <v>293</v>
      </c>
      <c r="B267" s="86">
        <v>1856160</v>
      </c>
      <c r="C267" s="86">
        <v>7854874</v>
      </c>
      <c r="D267" s="101">
        <f t="shared" si="52"/>
        <v>5998714</v>
      </c>
      <c r="E267" s="88">
        <f t="shared" si="51"/>
        <v>423.17871304197911</v>
      </c>
      <c r="F267" s="61"/>
    </row>
    <row r="268" spans="1:6" x14ac:dyDescent="0.2">
      <c r="A268" s="123" t="s">
        <v>294</v>
      </c>
      <c r="B268" s="86">
        <v>4500000</v>
      </c>
      <c r="C268" s="86">
        <v>346968</v>
      </c>
      <c r="D268" s="101">
        <f t="shared" si="52"/>
        <v>-4153032</v>
      </c>
      <c r="E268" s="88">
        <f t="shared" si="51"/>
        <v>7.7104000000000008</v>
      </c>
      <c r="F268" s="61"/>
    </row>
    <row r="269" spans="1:6" x14ac:dyDescent="0.2">
      <c r="A269" s="123" t="s">
        <v>295</v>
      </c>
      <c r="B269" s="86">
        <v>1479225</v>
      </c>
      <c r="C269" s="86">
        <v>1626083</v>
      </c>
      <c r="D269" s="101">
        <f t="shared" si="52"/>
        <v>146858</v>
      </c>
      <c r="E269" s="88">
        <f t="shared" si="51"/>
        <v>109.92803664080853</v>
      </c>
      <c r="F269" s="61"/>
    </row>
    <row r="270" spans="1:6" ht="25.5" x14ac:dyDescent="0.2">
      <c r="A270" s="123" t="s">
        <v>296</v>
      </c>
      <c r="B270" s="86">
        <v>1036375</v>
      </c>
      <c r="C270" s="86">
        <v>222030</v>
      </c>
      <c r="D270" s="86">
        <f t="shared" si="52"/>
        <v>-814345</v>
      </c>
      <c r="E270" s="88">
        <f t="shared" si="51"/>
        <v>21.42371245929321</v>
      </c>
      <c r="F270" s="61"/>
    </row>
    <row r="271" spans="1:6" x14ac:dyDescent="0.2">
      <c r="A271" s="123" t="s">
        <v>297</v>
      </c>
      <c r="B271" s="86">
        <v>6813640</v>
      </c>
      <c r="C271" s="86">
        <v>7858256</v>
      </c>
      <c r="D271" s="101">
        <f t="shared" si="52"/>
        <v>1044616</v>
      </c>
      <c r="E271" s="88">
        <f t="shared" si="51"/>
        <v>115.33124732154914</v>
      </c>
      <c r="F271" s="61"/>
    </row>
    <row r="272" spans="1:6" ht="25.5" x14ac:dyDescent="0.2">
      <c r="A272" s="123" t="s">
        <v>298</v>
      </c>
      <c r="B272" s="86">
        <v>700000</v>
      </c>
      <c r="C272" s="86">
        <v>1424273</v>
      </c>
      <c r="D272" s="86">
        <f t="shared" si="52"/>
        <v>724273</v>
      </c>
      <c r="E272" s="88">
        <v>100</v>
      </c>
      <c r="F272" s="61"/>
    </row>
    <row r="273" spans="1:6" x14ac:dyDescent="0.2">
      <c r="A273" s="122" t="s">
        <v>299</v>
      </c>
      <c r="B273" s="86">
        <v>0</v>
      </c>
      <c r="C273" s="86">
        <v>0</v>
      </c>
      <c r="D273" s="86">
        <f t="shared" si="52"/>
        <v>0</v>
      </c>
      <c r="E273" s="88">
        <v>0</v>
      </c>
      <c r="F273" s="61"/>
    </row>
    <row r="274" spans="1:6" x14ac:dyDescent="0.2">
      <c r="A274" s="123" t="s">
        <v>300</v>
      </c>
      <c r="B274" s="86">
        <v>0</v>
      </c>
      <c r="C274" s="86">
        <v>30790234</v>
      </c>
      <c r="D274" s="101">
        <f t="shared" si="52"/>
        <v>30790234</v>
      </c>
      <c r="E274" s="88">
        <v>100</v>
      </c>
      <c r="F274" s="61"/>
    </row>
    <row r="275" spans="1:6" x14ac:dyDescent="0.2">
      <c r="A275" s="122" t="s">
        <v>301</v>
      </c>
      <c r="B275" s="86">
        <v>0</v>
      </c>
      <c r="C275" s="86">
        <v>78531</v>
      </c>
      <c r="D275" s="101">
        <f t="shared" si="52"/>
        <v>78531</v>
      </c>
      <c r="E275" s="88">
        <v>100</v>
      </c>
      <c r="F275" s="61"/>
    </row>
    <row r="276" spans="1:6" x14ac:dyDescent="0.2">
      <c r="A276" s="123" t="s">
        <v>302</v>
      </c>
      <c r="B276" s="86">
        <v>0</v>
      </c>
      <c r="C276" s="86">
        <v>551135</v>
      </c>
      <c r="D276" s="101">
        <f t="shared" si="52"/>
        <v>551135</v>
      </c>
      <c r="E276" s="88">
        <v>100</v>
      </c>
      <c r="F276" s="61"/>
    </row>
    <row r="277" spans="1:6" ht="25.5" x14ac:dyDescent="0.2">
      <c r="A277" s="123" t="s">
        <v>303</v>
      </c>
      <c r="B277" s="86">
        <v>0</v>
      </c>
      <c r="C277" s="86">
        <v>4454638</v>
      </c>
      <c r="D277" s="101">
        <f t="shared" si="52"/>
        <v>4454638</v>
      </c>
      <c r="E277" s="88">
        <v>100</v>
      </c>
      <c r="F277" s="61"/>
    </row>
    <row r="278" spans="1:6" x14ac:dyDescent="0.2">
      <c r="A278" s="123" t="s">
        <v>304</v>
      </c>
      <c r="B278" s="86">
        <v>0</v>
      </c>
      <c r="C278" s="86">
        <v>6449630</v>
      </c>
      <c r="D278" s="101">
        <f t="shared" si="52"/>
        <v>6449630</v>
      </c>
      <c r="E278" s="88">
        <v>100</v>
      </c>
      <c r="F278" s="61"/>
    </row>
    <row r="279" spans="1:6" x14ac:dyDescent="0.2">
      <c r="A279" s="90" t="s">
        <v>305</v>
      </c>
      <c r="B279" s="83">
        <f>ROUND(SUM(B280:B283),0)</f>
        <v>40203090</v>
      </c>
      <c r="C279" s="83">
        <f t="shared" ref="C279" si="53">ROUND(SUM(C280:C283),0)</f>
        <v>74487294</v>
      </c>
      <c r="D279" s="83">
        <f>ROUND(SUM(D280:D283),0)</f>
        <v>34284204</v>
      </c>
      <c r="E279" s="84">
        <f t="shared" si="51"/>
        <v>185.27753463726296</v>
      </c>
      <c r="F279" s="61"/>
    </row>
    <row r="280" spans="1:6" x14ac:dyDescent="0.2">
      <c r="A280" s="89" t="s">
        <v>306</v>
      </c>
      <c r="B280" s="86">
        <v>16277090</v>
      </c>
      <c r="C280" s="86">
        <v>11534706</v>
      </c>
      <c r="D280" s="86">
        <f t="shared" si="52"/>
        <v>-4742384</v>
      </c>
      <c r="E280" s="88">
        <f t="shared" si="51"/>
        <v>70.864669298996319</v>
      </c>
      <c r="F280" s="61"/>
    </row>
    <row r="281" spans="1:6" ht="25.5" x14ac:dyDescent="0.2">
      <c r="A281" s="89" t="s">
        <v>307</v>
      </c>
      <c r="B281" s="86">
        <v>14500000</v>
      </c>
      <c r="C281" s="86">
        <v>3148859</v>
      </c>
      <c r="D281" s="86">
        <f t="shared" si="52"/>
        <v>-11351141</v>
      </c>
      <c r="E281" s="88">
        <f t="shared" si="51"/>
        <v>21.716268965517241</v>
      </c>
    </row>
    <row r="282" spans="1:6" x14ac:dyDescent="0.2">
      <c r="A282" s="89" t="s">
        <v>308</v>
      </c>
      <c r="B282" s="86">
        <v>9426000</v>
      </c>
      <c r="C282" s="86">
        <v>11023186</v>
      </c>
      <c r="D282" s="86">
        <f t="shared" si="52"/>
        <v>1597186</v>
      </c>
      <c r="E282" s="88">
        <f t="shared" si="51"/>
        <v>116.94447273498834</v>
      </c>
    </row>
    <row r="283" spans="1:6" x14ac:dyDescent="0.2">
      <c r="A283" s="89" t="s">
        <v>309</v>
      </c>
      <c r="B283" s="86">
        <v>0</v>
      </c>
      <c r="C283" s="86">
        <v>48780543</v>
      </c>
      <c r="D283" s="86">
        <f t="shared" si="52"/>
        <v>48780543</v>
      </c>
      <c r="E283" s="88">
        <v>100</v>
      </c>
    </row>
    <row r="284" spans="1:6" x14ac:dyDescent="0.2">
      <c r="A284" s="90" t="s">
        <v>310</v>
      </c>
      <c r="B284" s="83">
        <f>ROUND(+B285,0)</f>
        <v>5828413016</v>
      </c>
      <c r="C284" s="83">
        <f t="shared" ref="C284:D284" si="54">ROUND(+C285,0)</f>
        <v>3907469401</v>
      </c>
      <c r="D284" s="83">
        <f t="shared" si="54"/>
        <v>-1920943615</v>
      </c>
      <c r="E284" s="84">
        <f t="shared" si="51"/>
        <v>67.041738296056266</v>
      </c>
    </row>
    <row r="285" spans="1:6" ht="25.5" x14ac:dyDescent="0.2">
      <c r="A285" s="89" t="s">
        <v>311</v>
      </c>
      <c r="B285" s="86">
        <v>5828413016</v>
      </c>
      <c r="C285" s="86">
        <v>3907469401</v>
      </c>
      <c r="D285" s="86">
        <f>+C285-B285</f>
        <v>-1920943615</v>
      </c>
      <c r="E285" s="88">
        <f t="shared" si="51"/>
        <v>67.041738296056266</v>
      </c>
    </row>
    <row r="286" spans="1:6" x14ac:dyDescent="0.2">
      <c r="A286" s="90" t="s">
        <v>312</v>
      </c>
      <c r="B286" s="83">
        <f>+B287</f>
        <v>138356423</v>
      </c>
      <c r="C286" s="83">
        <f t="shared" ref="C286:D286" si="55">+C287</f>
        <v>104553561</v>
      </c>
      <c r="D286" s="83">
        <f t="shared" si="55"/>
        <v>104553561</v>
      </c>
      <c r="E286" s="84">
        <f t="shared" si="51"/>
        <v>75.568274123421077</v>
      </c>
    </row>
    <row r="287" spans="1:6" x14ac:dyDescent="0.2">
      <c r="A287" s="124" t="s">
        <v>313</v>
      </c>
      <c r="B287" s="86">
        <v>138356423</v>
      </c>
      <c r="C287" s="86">
        <v>104553561</v>
      </c>
      <c r="D287" s="86">
        <v>104553561</v>
      </c>
      <c r="E287" s="88">
        <f t="shared" si="51"/>
        <v>75.568274123421077</v>
      </c>
    </row>
    <row r="288" spans="1:6" x14ac:dyDescent="0.2">
      <c r="A288" s="90" t="s">
        <v>314</v>
      </c>
      <c r="B288" s="86">
        <v>0</v>
      </c>
      <c r="C288" s="86">
        <v>0</v>
      </c>
      <c r="D288" s="86">
        <f>+C288-B288</f>
        <v>0</v>
      </c>
      <c r="E288" s="88">
        <v>0</v>
      </c>
    </row>
    <row r="289" spans="1:6" ht="9" customHeight="1" thickBot="1" x14ac:dyDescent="0.25">
      <c r="A289" s="117"/>
      <c r="B289" s="97"/>
      <c r="C289" s="97"/>
      <c r="D289" s="97"/>
      <c r="E289" s="97"/>
    </row>
    <row r="290" spans="1:6" ht="13.5" thickBot="1" x14ac:dyDescent="0.25">
      <c r="A290" s="62" t="s">
        <v>77</v>
      </c>
      <c r="B290" s="63" t="s">
        <v>78</v>
      </c>
      <c r="C290" s="63" t="s">
        <v>79</v>
      </c>
      <c r="D290" s="64" t="s">
        <v>80</v>
      </c>
      <c r="E290" s="64" t="s">
        <v>81</v>
      </c>
      <c r="F290" s="61"/>
    </row>
    <row r="291" spans="1:6" x14ac:dyDescent="0.2">
      <c r="A291" s="90" t="s">
        <v>315</v>
      </c>
      <c r="B291" s="83">
        <f>ROUND(SUM(B292:B313),0)</f>
        <v>3102127067</v>
      </c>
      <c r="C291" s="83">
        <f>ROUND(SUM(C292:C313),0)</f>
        <v>2519268386</v>
      </c>
      <c r="D291" s="83">
        <f>ROUND(SUM(D292:D313),0)</f>
        <v>-582858681</v>
      </c>
      <c r="E291" s="84">
        <f t="shared" si="51"/>
        <v>81.210999149571578</v>
      </c>
    </row>
    <row r="292" spans="1:6" ht="25.5" x14ac:dyDescent="0.2">
      <c r="A292" s="100" t="s">
        <v>316</v>
      </c>
      <c r="B292" s="86">
        <v>630000000</v>
      </c>
      <c r="C292" s="87">
        <v>472112521</v>
      </c>
      <c r="D292" s="86">
        <f t="shared" ref="D292:D317" si="56">+C292-B292</f>
        <v>-157887479</v>
      </c>
      <c r="E292" s="88">
        <f t="shared" ref="E292:E301" si="57">+C292/B292*100</f>
        <v>74.938495396825402</v>
      </c>
    </row>
    <row r="293" spans="1:6" ht="25.5" x14ac:dyDescent="0.2">
      <c r="A293" s="89" t="s">
        <v>317</v>
      </c>
      <c r="B293" s="86">
        <v>20075000</v>
      </c>
      <c r="C293" s="87">
        <v>7386350</v>
      </c>
      <c r="D293" s="86">
        <f t="shared" si="56"/>
        <v>-12688650</v>
      </c>
      <c r="E293" s="88">
        <v>100</v>
      </c>
    </row>
    <row r="294" spans="1:6" x14ac:dyDescent="0.2">
      <c r="A294" s="89" t="s">
        <v>318</v>
      </c>
      <c r="B294" s="86">
        <v>471737259</v>
      </c>
      <c r="C294" s="87">
        <v>7061809</v>
      </c>
      <c r="D294" s="86">
        <f t="shared" si="56"/>
        <v>-464675450</v>
      </c>
      <c r="E294" s="88">
        <f t="shared" si="57"/>
        <v>1.4969792750671831</v>
      </c>
    </row>
    <row r="295" spans="1:6" x14ac:dyDescent="0.2">
      <c r="A295" s="103" t="s">
        <v>319</v>
      </c>
      <c r="B295" s="86">
        <v>0</v>
      </c>
      <c r="C295" s="87">
        <v>173</v>
      </c>
      <c r="D295" s="86">
        <f t="shared" si="56"/>
        <v>173</v>
      </c>
      <c r="E295" s="88">
        <v>100</v>
      </c>
    </row>
    <row r="296" spans="1:6" x14ac:dyDescent="0.2">
      <c r="A296" s="100" t="s">
        <v>320</v>
      </c>
      <c r="B296" s="86">
        <v>0</v>
      </c>
      <c r="C296" s="87">
        <v>5513</v>
      </c>
      <c r="D296" s="125">
        <f t="shared" si="56"/>
        <v>5513</v>
      </c>
      <c r="E296" s="88">
        <v>100</v>
      </c>
    </row>
    <row r="297" spans="1:6" ht="25.5" x14ac:dyDescent="0.2">
      <c r="A297" s="89" t="s">
        <v>321</v>
      </c>
      <c r="B297" s="86">
        <v>10451212</v>
      </c>
      <c r="C297" s="87">
        <v>5168928</v>
      </c>
      <c r="D297" s="86">
        <f t="shared" si="56"/>
        <v>-5282284</v>
      </c>
      <c r="E297" s="88">
        <f t="shared" si="57"/>
        <v>49.457689691874975</v>
      </c>
    </row>
    <row r="298" spans="1:6" x14ac:dyDescent="0.2">
      <c r="A298" s="89" t="s">
        <v>322</v>
      </c>
      <c r="B298" s="86">
        <v>551040002</v>
      </c>
      <c r="C298" s="87">
        <v>496733065</v>
      </c>
      <c r="D298" s="125">
        <f t="shared" si="56"/>
        <v>-54306937</v>
      </c>
      <c r="E298" s="88">
        <f t="shared" si="57"/>
        <v>90.14464706683853</v>
      </c>
    </row>
    <row r="299" spans="1:6" ht="25.5" x14ac:dyDescent="0.2">
      <c r="A299" s="89" t="s">
        <v>323</v>
      </c>
      <c r="B299" s="86">
        <v>0</v>
      </c>
      <c r="C299" s="87">
        <v>2995</v>
      </c>
      <c r="D299" s="86">
        <f t="shared" si="56"/>
        <v>2995</v>
      </c>
      <c r="E299" s="88">
        <v>0</v>
      </c>
    </row>
    <row r="300" spans="1:6" x14ac:dyDescent="0.2">
      <c r="A300" s="89" t="s">
        <v>324</v>
      </c>
      <c r="B300" s="86">
        <v>0</v>
      </c>
      <c r="C300" s="87">
        <v>0</v>
      </c>
      <c r="D300" s="86">
        <f t="shared" si="56"/>
        <v>0</v>
      </c>
      <c r="E300" s="88">
        <v>0</v>
      </c>
    </row>
    <row r="301" spans="1:6" x14ac:dyDescent="0.2">
      <c r="A301" s="89" t="s">
        <v>325</v>
      </c>
      <c r="B301" s="86">
        <v>50000000</v>
      </c>
      <c r="C301" s="87">
        <v>10958456</v>
      </c>
      <c r="D301" s="125">
        <f t="shared" si="56"/>
        <v>-39041544</v>
      </c>
      <c r="E301" s="88">
        <f t="shared" si="57"/>
        <v>21.916912</v>
      </c>
    </row>
    <row r="302" spans="1:6" ht="38.25" x14ac:dyDescent="0.2">
      <c r="A302" s="89" t="s">
        <v>326</v>
      </c>
      <c r="B302" s="86">
        <v>0</v>
      </c>
      <c r="C302" s="87">
        <v>701</v>
      </c>
      <c r="D302" s="87">
        <f t="shared" si="56"/>
        <v>701</v>
      </c>
      <c r="E302" s="88">
        <v>100</v>
      </c>
    </row>
    <row r="303" spans="1:6" x14ac:dyDescent="0.2">
      <c r="A303" s="89" t="s">
        <v>327</v>
      </c>
      <c r="B303" s="86">
        <v>0</v>
      </c>
      <c r="C303" s="87">
        <v>225706</v>
      </c>
      <c r="D303" s="125">
        <f t="shared" si="56"/>
        <v>225706</v>
      </c>
      <c r="E303" s="88">
        <v>100</v>
      </c>
    </row>
    <row r="304" spans="1:6" x14ac:dyDescent="0.2">
      <c r="A304" s="89" t="s">
        <v>328</v>
      </c>
      <c r="B304" s="86">
        <v>0</v>
      </c>
      <c r="C304" s="86">
        <v>0</v>
      </c>
      <c r="D304" s="125">
        <f t="shared" si="56"/>
        <v>0</v>
      </c>
      <c r="E304" s="88">
        <v>0</v>
      </c>
    </row>
    <row r="305" spans="1:5" x14ac:dyDescent="0.2">
      <c r="A305" s="89" t="s">
        <v>329</v>
      </c>
      <c r="B305" s="86">
        <v>0</v>
      </c>
      <c r="C305" s="86">
        <v>0</v>
      </c>
      <c r="D305" s="86">
        <f t="shared" si="56"/>
        <v>0</v>
      </c>
      <c r="E305" s="88">
        <v>0</v>
      </c>
    </row>
    <row r="306" spans="1:5" x14ac:dyDescent="0.2">
      <c r="A306" s="85" t="s">
        <v>330</v>
      </c>
      <c r="B306" s="86">
        <v>0</v>
      </c>
      <c r="C306" s="86">
        <v>0</v>
      </c>
      <c r="D306" s="125">
        <f t="shared" si="56"/>
        <v>0</v>
      </c>
      <c r="E306" s="126">
        <v>0</v>
      </c>
    </row>
    <row r="307" spans="1:5" ht="25.5" x14ac:dyDescent="0.2">
      <c r="A307" s="89" t="s">
        <v>331</v>
      </c>
      <c r="B307" s="86">
        <v>213000000</v>
      </c>
      <c r="C307" s="87">
        <v>190853623</v>
      </c>
      <c r="D307" s="86">
        <f t="shared" si="56"/>
        <v>-22146377</v>
      </c>
      <c r="E307" s="88">
        <f t="shared" ref="E307:E317" si="58">+C307/B307*100</f>
        <v>89.602639906103292</v>
      </c>
    </row>
    <row r="308" spans="1:5" x14ac:dyDescent="0.2">
      <c r="A308" s="89" t="s">
        <v>332</v>
      </c>
      <c r="B308" s="86">
        <v>0</v>
      </c>
      <c r="C308" s="87">
        <v>34910168</v>
      </c>
      <c r="D308" s="86">
        <f t="shared" si="56"/>
        <v>34910168</v>
      </c>
      <c r="E308" s="88">
        <v>0</v>
      </c>
    </row>
    <row r="309" spans="1:5" x14ac:dyDescent="0.2">
      <c r="A309" s="89" t="s">
        <v>333</v>
      </c>
      <c r="B309" s="86">
        <v>13200000</v>
      </c>
      <c r="C309" s="87">
        <v>16127208</v>
      </c>
      <c r="D309" s="86">
        <f t="shared" si="56"/>
        <v>2927208</v>
      </c>
      <c r="E309" s="88">
        <f t="shared" si="58"/>
        <v>122.17581818181817</v>
      </c>
    </row>
    <row r="310" spans="1:5" x14ac:dyDescent="0.2">
      <c r="A310" s="89" t="s">
        <v>334</v>
      </c>
      <c r="B310" s="86">
        <v>0</v>
      </c>
      <c r="C310" s="87"/>
      <c r="D310" s="86">
        <f t="shared" si="56"/>
        <v>0</v>
      </c>
      <c r="E310" s="88">
        <v>0</v>
      </c>
    </row>
    <row r="311" spans="1:5" x14ac:dyDescent="0.2">
      <c r="A311" s="122" t="s">
        <v>335</v>
      </c>
      <c r="B311" s="86">
        <v>600000000</v>
      </c>
      <c r="C311" s="87">
        <v>889526093</v>
      </c>
      <c r="D311" s="86">
        <f t="shared" si="56"/>
        <v>289526093</v>
      </c>
      <c r="E311" s="88">
        <f t="shared" si="58"/>
        <v>148.25434883333332</v>
      </c>
    </row>
    <row r="312" spans="1:5" ht="30" x14ac:dyDescent="0.2">
      <c r="A312" s="127" t="s">
        <v>336</v>
      </c>
      <c r="B312" s="86">
        <v>326126594</v>
      </c>
      <c r="C312" s="87">
        <v>243282008</v>
      </c>
      <c r="D312" s="86">
        <f t="shared" si="56"/>
        <v>-82844586</v>
      </c>
      <c r="E312" s="88">
        <v>0</v>
      </c>
    </row>
    <row r="313" spans="1:5" ht="59.25" customHeight="1" x14ac:dyDescent="0.2">
      <c r="A313" s="127" t="s">
        <v>337</v>
      </c>
      <c r="B313" s="86">
        <v>216497000</v>
      </c>
      <c r="C313" s="87">
        <v>144913069</v>
      </c>
      <c r="D313" s="86">
        <f t="shared" si="56"/>
        <v>-71583931</v>
      </c>
      <c r="E313" s="88">
        <f t="shared" si="58"/>
        <v>66.935370467027255</v>
      </c>
    </row>
    <row r="314" spans="1:5" x14ac:dyDescent="0.2">
      <c r="A314" s="128" t="s">
        <v>338</v>
      </c>
      <c r="B314" s="83">
        <v>0</v>
      </c>
      <c r="C314" s="87">
        <v>0</v>
      </c>
      <c r="D314" s="86">
        <f t="shared" si="56"/>
        <v>0</v>
      </c>
      <c r="E314" s="88">
        <v>0</v>
      </c>
    </row>
    <row r="315" spans="1:5" x14ac:dyDescent="0.2">
      <c r="A315" s="128" t="s">
        <v>339</v>
      </c>
      <c r="B315" s="83">
        <v>0</v>
      </c>
      <c r="C315" s="87">
        <v>0</v>
      </c>
      <c r="D315" s="86">
        <f t="shared" si="56"/>
        <v>0</v>
      </c>
      <c r="E315" s="88">
        <v>0</v>
      </c>
    </row>
    <row r="316" spans="1:5" ht="25.5" x14ac:dyDescent="0.2">
      <c r="A316" s="90" t="s">
        <v>340</v>
      </c>
      <c r="B316" s="83">
        <f>ROUND(+B317,0)</f>
        <v>66000000</v>
      </c>
      <c r="C316" s="83">
        <f t="shared" ref="C316:D316" si="59">ROUND(+C317,0)</f>
        <v>0</v>
      </c>
      <c r="D316" s="83">
        <f t="shared" si="59"/>
        <v>-66000000</v>
      </c>
      <c r="E316" s="88">
        <f t="shared" si="58"/>
        <v>0</v>
      </c>
    </row>
    <row r="317" spans="1:5" ht="26.25" thickBot="1" x14ac:dyDescent="0.25">
      <c r="A317" s="119" t="s">
        <v>341</v>
      </c>
      <c r="B317" s="93">
        <v>66000000</v>
      </c>
      <c r="C317" s="104">
        <v>0</v>
      </c>
      <c r="D317" s="93">
        <f t="shared" si="56"/>
        <v>-66000000</v>
      </c>
      <c r="E317" s="95">
        <f t="shared" si="58"/>
        <v>0</v>
      </c>
    </row>
    <row r="318" spans="1:5" x14ac:dyDescent="0.2">
      <c r="C318" s="114"/>
    </row>
    <row r="319" spans="1:5" ht="13.5" thickBot="1" x14ac:dyDescent="0.25">
      <c r="A319" s="60"/>
      <c r="C319" s="114"/>
    </row>
    <row r="320" spans="1:5" ht="13.5" thickBot="1" x14ac:dyDescent="0.25">
      <c r="A320" s="62" t="s">
        <v>77</v>
      </c>
      <c r="B320" s="63" t="s">
        <v>78</v>
      </c>
      <c r="C320" s="63" t="s">
        <v>79</v>
      </c>
      <c r="D320" s="64" t="s">
        <v>80</v>
      </c>
      <c r="E320" s="64" t="s">
        <v>81</v>
      </c>
    </row>
    <row r="321" spans="1:5" x14ac:dyDescent="0.2">
      <c r="A321" s="90" t="s">
        <v>342</v>
      </c>
      <c r="B321" s="83">
        <f>+B322+B326</f>
        <v>4500000000</v>
      </c>
      <c r="C321" s="83">
        <f t="shared" ref="C321:D321" si="60">+C322+C326</f>
        <v>2584150842</v>
      </c>
      <c r="D321" s="83">
        <f t="shared" si="60"/>
        <v>-1915849158</v>
      </c>
      <c r="E321" s="84">
        <f>+C321/B321*100</f>
        <v>57.425574266666665</v>
      </c>
    </row>
    <row r="322" spans="1:5" x14ac:dyDescent="0.2">
      <c r="A322" s="90" t="s">
        <v>343</v>
      </c>
      <c r="B322" s="83">
        <f>SUM(B323:B325)</f>
        <v>4500000000</v>
      </c>
      <c r="C322" s="83">
        <f t="shared" ref="C322:D322" si="61">SUM(C323:C325)</f>
        <v>2584150842</v>
      </c>
      <c r="D322" s="83">
        <f t="shared" si="61"/>
        <v>-1915849158</v>
      </c>
      <c r="E322" s="84">
        <f>+C322/B322*100</f>
        <v>57.425574266666665</v>
      </c>
    </row>
    <row r="323" spans="1:5" x14ac:dyDescent="0.2">
      <c r="A323" s="89" t="s">
        <v>344</v>
      </c>
      <c r="B323" s="86">
        <v>1000000000</v>
      </c>
      <c r="C323" s="83">
        <v>0</v>
      </c>
      <c r="D323" s="86">
        <f t="shared" ref="D323:D326" si="62">+C323-B323</f>
        <v>-1000000000</v>
      </c>
      <c r="E323" s="88">
        <f>+C323/B323*100</f>
        <v>0</v>
      </c>
    </row>
    <row r="324" spans="1:5" x14ac:dyDescent="0.2">
      <c r="A324" s="89" t="s">
        <v>345</v>
      </c>
      <c r="B324" s="86">
        <v>1000000000</v>
      </c>
      <c r="C324" s="87">
        <v>848000000</v>
      </c>
      <c r="D324" s="86">
        <f t="shared" si="62"/>
        <v>-152000000</v>
      </c>
      <c r="E324" s="88">
        <f t="shared" ref="E324:E325" si="63">+C324/B324*100</f>
        <v>84.8</v>
      </c>
    </row>
    <row r="325" spans="1:5" x14ac:dyDescent="0.2">
      <c r="A325" s="89" t="s">
        <v>346</v>
      </c>
      <c r="B325" s="86">
        <v>2500000000</v>
      </c>
      <c r="C325" s="87">
        <v>1736150842</v>
      </c>
      <c r="D325" s="86">
        <f t="shared" si="62"/>
        <v>-763849158</v>
      </c>
      <c r="E325" s="88">
        <f t="shared" si="63"/>
        <v>69.446033679999999</v>
      </c>
    </row>
    <row r="326" spans="1:5" ht="13.5" thickBot="1" x14ac:dyDescent="0.25">
      <c r="A326" s="129" t="s">
        <v>347</v>
      </c>
      <c r="B326" s="130">
        <v>0</v>
      </c>
      <c r="C326" s="131">
        <v>0</v>
      </c>
      <c r="D326" s="131">
        <f t="shared" si="62"/>
        <v>0</v>
      </c>
      <c r="E326" s="132">
        <v>0</v>
      </c>
    </row>
    <row r="327" spans="1:5" x14ac:dyDescent="0.2">
      <c r="C327" s="114"/>
    </row>
    <row r="328" spans="1:5" x14ac:dyDescent="0.2">
      <c r="C328" s="114"/>
    </row>
    <row r="329" spans="1:5" x14ac:dyDescent="0.2">
      <c r="C329" s="114"/>
    </row>
    <row r="330" spans="1:5" x14ac:dyDescent="0.2">
      <c r="C330" s="133"/>
    </row>
    <row r="331" spans="1:5" x14ac:dyDescent="0.2">
      <c r="C331" s="134"/>
    </row>
    <row r="332" spans="1:5" x14ac:dyDescent="0.2">
      <c r="C332" s="134"/>
    </row>
    <row r="333" spans="1:5" x14ac:dyDescent="0.2">
      <c r="C333" s="134"/>
    </row>
    <row r="334" spans="1:5" ht="14.25" x14ac:dyDescent="0.2">
      <c r="C334" s="135"/>
    </row>
    <row r="335" spans="1:5" x14ac:dyDescent="0.2">
      <c r="C335" s="134"/>
    </row>
    <row r="336" spans="1:5" x14ac:dyDescent="0.2">
      <c r="C336" s="134"/>
    </row>
    <row r="337" spans="3:3" x14ac:dyDescent="0.2">
      <c r="C337" s="134"/>
    </row>
    <row r="339" spans="3:3" x14ac:dyDescent="0.2">
      <c r="C339" s="134"/>
    </row>
    <row r="340" spans="3:3" x14ac:dyDescent="0.2">
      <c r="C340" s="136"/>
    </row>
  </sheetData>
  <mergeCells count="4">
    <mergeCell ref="A5:E5"/>
    <mergeCell ref="A6:E6"/>
    <mergeCell ref="A7:E7"/>
    <mergeCell ref="A9:E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31" zoomScale="75" zoomScaleNormal="75" workbookViewId="0">
      <selection activeCell="G2" sqref="G2"/>
    </sheetView>
  </sheetViews>
  <sheetFormatPr baseColWidth="10" defaultRowHeight="15" x14ac:dyDescent="0.25"/>
  <cols>
    <col min="1" max="1" width="19.140625" bestFit="1" customWidth="1"/>
    <col min="2" max="2" width="13.7109375" bestFit="1" customWidth="1"/>
    <col min="3" max="3" width="31" bestFit="1" customWidth="1"/>
    <col min="4" max="4" width="22.42578125" bestFit="1" customWidth="1"/>
    <col min="5" max="5" width="28.42578125" bestFit="1" customWidth="1"/>
    <col min="6" max="6" width="22.42578125" bestFit="1" customWidth="1"/>
    <col min="7" max="7" width="22.28515625" bestFit="1" customWidth="1"/>
    <col min="8" max="8" width="21.85546875" bestFit="1" customWidth="1"/>
    <col min="9" max="9" width="16.85546875" bestFit="1" customWidth="1"/>
    <col min="10" max="10" width="23" bestFit="1" customWidth="1"/>
    <col min="11" max="11" width="21.140625" bestFit="1" customWidth="1"/>
    <col min="12" max="12" width="16.85546875" bestFit="1" customWidth="1"/>
    <col min="13" max="13" width="21.140625" bestFit="1" customWidth="1"/>
  </cols>
  <sheetData>
    <row r="1" spans="1:10" ht="38.25" x14ac:dyDescent="0.25">
      <c r="A1" s="45" t="s">
        <v>42</v>
      </c>
      <c r="B1" s="45" t="s">
        <v>43</v>
      </c>
      <c r="C1" s="45" t="s">
        <v>44</v>
      </c>
      <c r="D1" s="48" t="s">
        <v>61</v>
      </c>
      <c r="E1" s="48" t="s">
        <v>62</v>
      </c>
      <c r="F1" s="48" t="s">
        <v>63</v>
      </c>
      <c r="G1" s="48" t="s">
        <v>64</v>
      </c>
      <c r="H1" s="48" t="s">
        <v>65</v>
      </c>
      <c r="I1" s="48" t="s">
        <v>66</v>
      </c>
      <c r="J1" s="48" t="s">
        <v>67</v>
      </c>
    </row>
    <row r="2" spans="1:10" x14ac:dyDescent="0.25">
      <c r="A2" s="33" t="s">
        <v>45</v>
      </c>
      <c r="B2" s="33" t="s">
        <v>46</v>
      </c>
      <c r="C2" s="33" t="s">
        <v>47</v>
      </c>
      <c r="D2" s="34" t="e">
        <f ca="1">[2]!BexGetData("DP_1","00O2TNJGODT0K3USBW3W18AN4","0","01","2")</f>
        <v>#NAME?</v>
      </c>
      <c r="E2" s="35" t="e">
        <f ca="1">[2]!BexGetData("DP_1","00O2TNJGODT0K3USBW3W1A1UO","0","01","2")</f>
        <v>#NAME?</v>
      </c>
      <c r="F2" s="34" t="e">
        <f ca="1">[2]!BexGetData("DP_1","00O2TNJGODT0K3USBW3W1A868","0","01","2")</f>
        <v>#NAME?</v>
      </c>
      <c r="G2" s="34" t="e">
        <f ca="1">[2]!BexGetData("DP_1","00O2TNJGODT0K3USBW3W1AKTC","0","01","2")</f>
        <v>#NAME?</v>
      </c>
      <c r="H2" s="34" t="e">
        <f ca="1">[2]!BexGetData("DP_1","00O2TNJGODT0K3USBW3W1AR4W","0","01","2")</f>
        <v>#NAME?</v>
      </c>
      <c r="I2" s="36" t="e">
        <f ca="1">[2]!BexGetData("DP_1","00O2TNJGODT0K3USBW3W1B3S0","0","01","2")</f>
        <v>#NAME?</v>
      </c>
      <c r="J2" s="34" t="e">
        <f ca="1">[2]!BexGetData("DP_1","00O2TNJGODT0K3USBW3W1BA3K","0","01","2")</f>
        <v>#NAME?</v>
      </c>
    </row>
    <row r="3" spans="1:10" x14ac:dyDescent="0.25">
      <c r="A3" s="33" t="s">
        <v>48</v>
      </c>
      <c r="B3" s="33" t="s">
        <v>48</v>
      </c>
      <c r="C3" s="37" t="s">
        <v>49</v>
      </c>
      <c r="D3" s="38" t="e">
        <f ca="1">[2]!BexGetData("DP_1","00O2TNJGODT0K3USBW3W18AN4","0","01","SUMME")</f>
        <v>#NAME?</v>
      </c>
      <c r="E3" s="39" t="e">
        <f ca="1">[2]!BexGetData("DP_1","00O2TNJGODT0K3USBW3W1A1UO","0","01","SUMME")</f>
        <v>#NAME?</v>
      </c>
      <c r="F3" s="38" t="e">
        <f ca="1">[2]!BexGetData("DP_1","00O2TNJGODT0K3USBW3W1A868","0","01","SUMME")</f>
        <v>#NAME?</v>
      </c>
      <c r="G3" s="38" t="e">
        <f ca="1">[2]!BexGetData("DP_1","00O2TNJGODT0K3USBW3W1AKTC","0","01","SUMME")</f>
        <v>#NAME?</v>
      </c>
      <c r="H3" s="38" t="e">
        <f ca="1">[2]!BexGetData("DP_1","00O2TNJGODT0K3USBW3W1AR4W","0","01","SUMME")</f>
        <v>#NAME?</v>
      </c>
      <c r="I3" s="40" t="e">
        <f ca="1">[2]!BexGetData("DP_1","00O2TNJGODT0K3USBW3W1B3S0","0","01","SUMME")</f>
        <v>#NAME?</v>
      </c>
      <c r="J3" s="38" t="e">
        <f ca="1">[2]!BexGetData("DP_1","00O2TNJGODT0K3USBW3W1BA3K","0","01","SUMME")</f>
        <v>#NAME?</v>
      </c>
    </row>
    <row r="4" spans="1:10" x14ac:dyDescent="0.25">
      <c r="A4" s="33" t="s">
        <v>48</v>
      </c>
      <c r="B4" s="37" t="s">
        <v>49</v>
      </c>
      <c r="C4" s="37" t="s">
        <v>48</v>
      </c>
      <c r="D4" s="38" t="e">
        <f ca="1">[2]!BexGetData("DP_1","00O2TNJGODT0K3USBW3W18AN4","0","SUMME","SUMME")</f>
        <v>#NAME?</v>
      </c>
      <c r="E4" s="39" t="e">
        <f ca="1">[2]!BexGetData("DP_1","00O2TNJGODT0K3USBW3W1A1UO","0","SUMME","SUMME")</f>
        <v>#NAME?</v>
      </c>
      <c r="F4" s="38" t="e">
        <f ca="1">[2]!BexGetData("DP_1","00O2TNJGODT0K3USBW3W1A868","0","SUMME","SUMME")</f>
        <v>#NAME?</v>
      </c>
      <c r="G4" s="38" t="e">
        <f ca="1">[2]!BexGetData("DP_1","00O2TNJGODT0K3USBW3W1AKTC","0","SUMME","SUMME")</f>
        <v>#NAME?</v>
      </c>
      <c r="H4" s="38" t="e">
        <f ca="1">[2]!BexGetData("DP_1","00O2TNJGODT0K3USBW3W1AR4W","0","SUMME","SUMME")</f>
        <v>#NAME?</v>
      </c>
      <c r="I4" s="40" t="e">
        <f ca="1">[2]!BexGetData("DP_1","00O2TNJGODT0K3USBW3W1B3S0","0","SUMME","SUMME")</f>
        <v>#NAME?</v>
      </c>
      <c r="J4" s="38" t="e">
        <f ca="1">[2]!BexGetData("DP_1","00O2TNJGODT0K3USBW3W1BA3K","0","SUMME","SUMME")</f>
        <v>#NAME?</v>
      </c>
    </row>
    <row r="5" spans="1:10" x14ac:dyDescent="0.25">
      <c r="A5" s="33" t="s">
        <v>46</v>
      </c>
      <c r="B5" s="33" t="s">
        <v>46</v>
      </c>
      <c r="C5" s="33" t="s">
        <v>46</v>
      </c>
      <c r="D5" s="34" t="e">
        <f ca="1">[2]!BexGetData("DP_1","00O2TNJGODT0K3USBW3W18AN4","1","11","1")</f>
        <v>#NAME?</v>
      </c>
      <c r="E5" s="35" t="e">
        <f ca="1">[2]!BexGetData("DP_1","00O2TNJGODT0K3USBW3W1A1UO","1","11","1")</f>
        <v>#NAME?</v>
      </c>
      <c r="F5" s="34" t="e">
        <f ca="1">[2]!BexGetData("DP_1","00O2TNJGODT0K3USBW3W1A868","1","11","1")</f>
        <v>#NAME?</v>
      </c>
      <c r="G5" s="34" t="e">
        <f ca="1">[2]!BexGetData("DP_1","00O2TNJGODT0K3USBW3W1AKTC","1","11","1")</f>
        <v>#NAME?</v>
      </c>
      <c r="H5" s="34" t="e">
        <f ca="1">[2]!BexGetData("DP_1","00O2TNJGODT0K3USBW3W1AR4W","1","11","1")</f>
        <v>#NAME?</v>
      </c>
      <c r="I5" s="36" t="e">
        <f ca="1">[2]!BexGetData("DP_1","00O2TNJGODT0K3USBW3W1B3S0","1","11","1")</f>
        <v>#NAME?</v>
      </c>
      <c r="J5" s="34" t="e">
        <f ca="1">[2]!BexGetData("DP_1","00O2TNJGODT0K3USBW3W1BA3K","1","11","1")</f>
        <v>#NAME?</v>
      </c>
    </row>
    <row r="6" spans="1:10" x14ac:dyDescent="0.25">
      <c r="A6" s="33" t="s">
        <v>48</v>
      </c>
      <c r="B6" s="33" t="s">
        <v>48</v>
      </c>
      <c r="C6" s="37" t="s">
        <v>49</v>
      </c>
      <c r="D6" s="38" t="e">
        <f ca="1">[2]!BexGetData("DP_1","00O2TNJGODT0K3USBW3W18AN4","1","11","SUMME")</f>
        <v>#NAME?</v>
      </c>
      <c r="E6" s="39" t="e">
        <f ca="1">[2]!BexGetData("DP_1","00O2TNJGODT0K3USBW3W1A1UO","1","11","SUMME")</f>
        <v>#NAME?</v>
      </c>
      <c r="F6" s="38" t="e">
        <f ca="1">[2]!BexGetData("DP_1","00O2TNJGODT0K3USBW3W1A868","1","11","SUMME")</f>
        <v>#NAME?</v>
      </c>
      <c r="G6" s="38" t="e">
        <f ca="1">[2]!BexGetData("DP_1","00O2TNJGODT0K3USBW3W1AKTC","1","11","SUMME")</f>
        <v>#NAME?</v>
      </c>
      <c r="H6" s="38" t="e">
        <f ca="1">[2]!BexGetData("DP_1","00O2TNJGODT0K3USBW3W1AR4W","1","11","SUMME")</f>
        <v>#NAME?</v>
      </c>
      <c r="I6" s="40" t="e">
        <f ca="1">[2]!BexGetData("DP_1","00O2TNJGODT0K3USBW3W1B3S0","1","11","SUMME")</f>
        <v>#NAME?</v>
      </c>
      <c r="J6" s="38" t="e">
        <f ca="1">[2]!BexGetData("DP_1","00O2TNJGODT0K3USBW3W1BA3K","1","11","SUMME")</f>
        <v>#NAME?</v>
      </c>
    </row>
    <row r="7" spans="1:10" x14ac:dyDescent="0.25">
      <c r="A7" s="33" t="s">
        <v>48</v>
      </c>
      <c r="B7" s="33" t="s">
        <v>50</v>
      </c>
      <c r="C7" s="33" t="s">
        <v>46</v>
      </c>
      <c r="D7" s="34" t="e">
        <f ca="1">[2]!BexGetData("DP_1","00O2TNJGODT0K3USBW3W18AN4","1","13","1")</f>
        <v>#NAME?</v>
      </c>
      <c r="E7" s="35" t="e">
        <f ca="1">[2]!BexGetData("DP_1","00O2TNJGODT0K3USBW3W1A1UO","1","13","1")</f>
        <v>#NAME?</v>
      </c>
      <c r="F7" s="34" t="e">
        <f ca="1">[2]!BexGetData("DP_1","00O2TNJGODT0K3USBW3W1A868","1","13","1")</f>
        <v>#NAME?</v>
      </c>
      <c r="G7" s="34" t="e">
        <f ca="1">[2]!BexGetData("DP_1","00O2TNJGODT0K3USBW3W1AKTC","1","13","1")</f>
        <v>#NAME?</v>
      </c>
      <c r="H7" s="34" t="e">
        <f ca="1">[2]!BexGetData("DP_1","00O2TNJGODT0K3USBW3W1AR4W","1","13","1")</f>
        <v>#NAME?</v>
      </c>
      <c r="I7" s="36" t="e">
        <f ca="1">[2]!BexGetData("DP_1","00O2TNJGODT0K3USBW3W1B3S0","1","13","1")</f>
        <v>#NAME?</v>
      </c>
      <c r="J7" s="34" t="e">
        <f ca="1">[2]!BexGetData("DP_1","00O2TNJGODT0K3USBW3W1BA3K","1","13","1")</f>
        <v>#NAME?</v>
      </c>
    </row>
    <row r="8" spans="1:10" x14ac:dyDescent="0.25">
      <c r="A8" s="33" t="s">
        <v>48</v>
      </c>
      <c r="B8" s="33" t="s">
        <v>48</v>
      </c>
      <c r="C8" s="37" t="s">
        <v>49</v>
      </c>
      <c r="D8" s="38" t="e">
        <f ca="1">[2]!BexGetData("DP_1","00O2TNJGODT0K3USBW3W18AN4","1","13","SUMME")</f>
        <v>#NAME?</v>
      </c>
      <c r="E8" s="39" t="e">
        <f ca="1">[2]!BexGetData("DP_1","00O2TNJGODT0K3USBW3W1A1UO","1","13","SUMME")</f>
        <v>#NAME?</v>
      </c>
      <c r="F8" s="38" t="e">
        <f ca="1">[2]!BexGetData("DP_1","00O2TNJGODT0K3USBW3W1A868","1","13","SUMME")</f>
        <v>#NAME?</v>
      </c>
      <c r="G8" s="38" t="e">
        <f ca="1">[2]!BexGetData("DP_1","00O2TNJGODT0K3USBW3W1AKTC","1","13","SUMME")</f>
        <v>#NAME?</v>
      </c>
      <c r="H8" s="38" t="e">
        <f ca="1">[2]!BexGetData("DP_1","00O2TNJGODT0K3USBW3W1AR4W","1","13","SUMME")</f>
        <v>#NAME?</v>
      </c>
      <c r="I8" s="40" t="e">
        <f ca="1">[2]!BexGetData("DP_1","00O2TNJGODT0K3USBW3W1B3S0","1","13","SUMME")</f>
        <v>#NAME?</v>
      </c>
      <c r="J8" s="38" t="e">
        <f ca="1">[2]!BexGetData("DP_1","00O2TNJGODT0K3USBW3W1BA3K","1","13","SUMME")</f>
        <v>#NAME?</v>
      </c>
    </row>
    <row r="9" spans="1:10" x14ac:dyDescent="0.25">
      <c r="A9" s="33" t="s">
        <v>48</v>
      </c>
      <c r="B9" s="33" t="s">
        <v>51</v>
      </c>
      <c r="C9" s="33" t="s">
        <v>46</v>
      </c>
      <c r="D9" s="34" t="e">
        <f ca="1">[2]!BexGetData("DP_1","00O2TNJGODT0K3USBW3W18AN4","1","15","1")</f>
        <v>#NAME?</v>
      </c>
      <c r="E9" s="35" t="e">
        <f ca="1">[2]!BexGetData("DP_1","00O2TNJGODT0K3USBW3W1A1UO","1","15","1")</f>
        <v>#NAME?</v>
      </c>
      <c r="F9" s="34" t="e">
        <f ca="1">[2]!BexGetData("DP_1","00O2TNJGODT0K3USBW3W1A868","1","15","1")</f>
        <v>#NAME?</v>
      </c>
      <c r="G9" s="34" t="e">
        <f ca="1">[2]!BexGetData("DP_1","00O2TNJGODT0K3USBW3W1AKTC","1","15","1")</f>
        <v>#NAME?</v>
      </c>
      <c r="H9" s="34" t="e">
        <f ca="1">[2]!BexGetData("DP_1","00O2TNJGODT0K3USBW3W1AR4W","1","15","1")</f>
        <v>#NAME?</v>
      </c>
      <c r="I9" s="36" t="e">
        <f ca="1">[2]!BexGetData("DP_1","00O2TNJGODT0K3USBW3W1B3S0","1","15","1")</f>
        <v>#NAME?</v>
      </c>
      <c r="J9" s="34" t="e">
        <f ca="1">[2]!BexGetData("DP_1","00O2TNJGODT0K3USBW3W1BA3K","1","15","1")</f>
        <v>#NAME?</v>
      </c>
    </row>
    <row r="10" spans="1:10" x14ac:dyDescent="0.25">
      <c r="A10" s="33" t="s">
        <v>48</v>
      </c>
      <c r="B10" s="33" t="s">
        <v>48</v>
      </c>
      <c r="C10" s="37" t="s">
        <v>49</v>
      </c>
      <c r="D10" s="38" t="e">
        <f ca="1">[2]!BexGetData("DP_1","00O2TNJGODT0K3USBW3W18AN4","1","15","SUMME")</f>
        <v>#NAME?</v>
      </c>
      <c r="E10" s="39" t="e">
        <f ca="1">[2]!BexGetData("DP_1","00O2TNJGODT0K3USBW3W1A1UO","1","15","SUMME")</f>
        <v>#NAME?</v>
      </c>
      <c r="F10" s="38" t="e">
        <f ca="1">[2]!BexGetData("DP_1","00O2TNJGODT0K3USBW3W1A868","1","15","SUMME")</f>
        <v>#NAME?</v>
      </c>
      <c r="G10" s="38" t="e">
        <f ca="1">[2]!BexGetData("DP_1","00O2TNJGODT0K3USBW3W1AKTC","1","15","SUMME")</f>
        <v>#NAME?</v>
      </c>
      <c r="H10" s="38" t="e">
        <f ca="1">[2]!BexGetData("DP_1","00O2TNJGODT0K3USBW3W1AR4W","1","15","SUMME")</f>
        <v>#NAME?</v>
      </c>
      <c r="I10" s="40" t="e">
        <f ca="1">[2]!BexGetData("DP_1","00O2TNJGODT0K3USBW3W1B3S0","1","15","SUMME")</f>
        <v>#NAME?</v>
      </c>
      <c r="J10" s="38" t="e">
        <f ca="1">[2]!BexGetData("DP_1","00O2TNJGODT0K3USBW3W1BA3K","1","15","SUMME")</f>
        <v>#NAME?</v>
      </c>
    </row>
    <row r="11" spans="1:10" x14ac:dyDescent="0.25">
      <c r="A11" s="33" t="s">
        <v>48</v>
      </c>
      <c r="B11" s="33" t="s">
        <v>52</v>
      </c>
      <c r="C11" s="33" t="s">
        <v>46</v>
      </c>
      <c r="D11" s="34" t="e">
        <f ca="1">[2]!BexGetData("DP_1","00O2TNJGODT0K3USBW3W18AN4","1","17","1")</f>
        <v>#NAME?</v>
      </c>
      <c r="E11" s="35" t="e">
        <f ca="1">[2]!BexGetData("DP_1","00O2TNJGODT0K3USBW3W1A1UO","1","17","1")</f>
        <v>#NAME?</v>
      </c>
      <c r="F11" s="34" t="e">
        <f ca="1">[2]!BexGetData("DP_1","00O2TNJGODT0K3USBW3W1A868","1","17","1")</f>
        <v>#NAME?</v>
      </c>
      <c r="G11" s="34" t="e">
        <f ca="1">[2]!BexGetData("DP_1","00O2TNJGODT0K3USBW3W1AKTC","1","17","1")</f>
        <v>#NAME?</v>
      </c>
      <c r="H11" s="34" t="e">
        <f ca="1">[2]!BexGetData("DP_1","00O2TNJGODT0K3USBW3W1AR4W","1","17","1")</f>
        <v>#NAME?</v>
      </c>
      <c r="I11" s="36" t="e">
        <f ca="1">[2]!BexGetData("DP_1","00O2TNJGODT0K3USBW3W1B3S0","1","17","1")</f>
        <v>#NAME?</v>
      </c>
      <c r="J11" s="34" t="e">
        <f ca="1">[2]!BexGetData("DP_1","00O2TNJGODT0K3USBW3W1BA3K","1","17","1")</f>
        <v>#NAME?</v>
      </c>
    </row>
    <row r="12" spans="1:10" x14ac:dyDescent="0.25">
      <c r="A12" s="33" t="s">
        <v>48</v>
      </c>
      <c r="B12" s="33" t="s">
        <v>48</v>
      </c>
      <c r="C12" s="37" t="s">
        <v>49</v>
      </c>
      <c r="D12" s="38" t="e">
        <f ca="1">[2]!BexGetData("DP_1","00O2TNJGODT0K3USBW3W18AN4","1","17","SUMME")</f>
        <v>#NAME?</v>
      </c>
      <c r="E12" s="39" t="e">
        <f ca="1">[2]!BexGetData("DP_1","00O2TNJGODT0K3USBW3W1A1UO","1","17","SUMME")</f>
        <v>#NAME?</v>
      </c>
      <c r="F12" s="38" t="e">
        <f ca="1">[2]!BexGetData("DP_1","00O2TNJGODT0K3USBW3W1A868","1","17","SUMME")</f>
        <v>#NAME?</v>
      </c>
      <c r="G12" s="38" t="e">
        <f ca="1">[2]!BexGetData("DP_1","00O2TNJGODT0K3USBW3W1AKTC","1","17","SUMME")</f>
        <v>#NAME?</v>
      </c>
      <c r="H12" s="38" t="e">
        <f ca="1">[2]!BexGetData("DP_1","00O2TNJGODT0K3USBW3W1AR4W","1","17","SUMME")</f>
        <v>#NAME?</v>
      </c>
      <c r="I12" s="40" t="e">
        <f ca="1">[2]!BexGetData("DP_1","00O2TNJGODT0K3USBW3W1B3S0","1","17","SUMME")</f>
        <v>#NAME?</v>
      </c>
      <c r="J12" s="38" t="e">
        <f ca="1">[2]!BexGetData("DP_1","00O2TNJGODT0K3USBW3W1BA3K","1","17","SUMME")</f>
        <v>#NAME?</v>
      </c>
    </row>
    <row r="13" spans="1:10" x14ac:dyDescent="0.25">
      <c r="A13" s="33" t="s">
        <v>48</v>
      </c>
      <c r="B13" s="33" t="s">
        <v>53</v>
      </c>
      <c r="C13" s="33" t="s">
        <v>46</v>
      </c>
      <c r="D13" s="34" t="e">
        <f ca="1">[2]!BexGetData("DP_1","00O2TNJGODT0K3USBW3W18AN4","1","18","1")</f>
        <v>#NAME?</v>
      </c>
      <c r="E13" s="35" t="e">
        <f ca="1">[2]!BexGetData("DP_1","00O2TNJGODT0K3USBW3W1A1UO","1","18","1")</f>
        <v>#NAME?</v>
      </c>
      <c r="F13" s="34" t="e">
        <f ca="1">[2]!BexGetData("DP_1","00O2TNJGODT0K3USBW3W1A868","1","18","1")</f>
        <v>#NAME?</v>
      </c>
      <c r="G13" s="34" t="e">
        <f ca="1">[2]!BexGetData("DP_1","00O2TNJGODT0K3USBW3W1AKTC","1","18","1")</f>
        <v>#NAME?</v>
      </c>
      <c r="H13" s="34" t="e">
        <f ca="1">[2]!BexGetData("DP_1","00O2TNJGODT0K3USBW3W1AR4W","1","18","1")</f>
        <v>#NAME?</v>
      </c>
      <c r="I13" s="36" t="e">
        <f ca="1">[2]!BexGetData("DP_1","00O2TNJGODT0K3USBW3W1B3S0","1","18","1")</f>
        <v>#NAME?</v>
      </c>
      <c r="J13" s="34" t="e">
        <f ca="1">[2]!BexGetData("DP_1","00O2TNJGODT0K3USBW3W1BA3K","1","18","1")</f>
        <v>#NAME?</v>
      </c>
    </row>
    <row r="14" spans="1:10" x14ac:dyDescent="0.25">
      <c r="A14" s="33" t="s">
        <v>48</v>
      </c>
      <c r="B14" s="33" t="s">
        <v>48</v>
      </c>
      <c r="C14" s="37" t="s">
        <v>49</v>
      </c>
      <c r="D14" s="38" t="e">
        <f ca="1">[2]!BexGetData("DP_1","00O2TNJGODT0K3USBW3W18AN4","1","18","SUMME")</f>
        <v>#NAME?</v>
      </c>
      <c r="E14" s="39" t="e">
        <f ca="1">[2]!BexGetData("DP_1","00O2TNJGODT0K3USBW3W1A1UO","1","18","SUMME")</f>
        <v>#NAME?</v>
      </c>
      <c r="F14" s="38" t="e">
        <f ca="1">[2]!BexGetData("DP_1","00O2TNJGODT0K3USBW3W1A868","1","18","SUMME")</f>
        <v>#NAME?</v>
      </c>
      <c r="G14" s="38" t="e">
        <f ca="1">[2]!BexGetData("DP_1","00O2TNJGODT0K3USBW3W1AKTC","1","18","SUMME")</f>
        <v>#NAME?</v>
      </c>
      <c r="H14" s="38" t="e">
        <f ca="1">[2]!BexGetData("DP_1","00O2TNJGODT0K3USBW3W1AR4W","1","18","SUMME")</f>
        <v>#NAME?</v>
      </c>
      <c r="I14" s="40" t="e">
        <f ca="1">[2]!BexGetData("DP_1","00O2TNJGODT0K3USBW3W1B3S0","1","18","SUMME")</f>
        <v>#NAME?</v>
      </c>
      <c r="J14" s="38" t="e">
        <f ca="1">[2]!BexGetData("DP_1","00O2TNJGODT0K3USBW3W1BA3K","1","18","SUMME")</f>
        <v>#NAME?</v>
      </c>
    </row>
    <row r="15" spans="1:10" x14ac:dyDescent="0.25">
      <c r="A15" s="33" t="s">
        <v>48</v>
      </c>
      <c r="B15" s="33" t="s">
        <v>54</v>
      </c>
      <c r="C15" s="33" t="s">
        <v>46</v>
      </c>
      <c r="D15" s="41" t="e">
        <f ca="1">[2]!BexGetData("DP_1","00O2TNJGODT0K3USBW3W18AN4","1","19","1")</f>
        <v>#NAME?</v>
      </c>
      <c r="E15" s="35" t="e">
        <f ca="1">[2]!BexGetData("DP_1","00O2TNJGODT0K3USBW3W1A1UO","1","19","1")</f>
        <v>#NAME?</v>
      </c>
      <c r="F15" s="35" t="e">
        <f ca="1">[2]!BexGetData("DP_1","00O2TNJGODT0K3USBW3W1A868","1","19","1")</f>
        <v>#NAME?</v>
      </c>
      <c r="G15" s="34" t="e">
        <f ca="1">[2]!BexGetData("DP_1","00O2TNJGODT0K3USBW3W1AKTC","1","19","1")</f>
        <v>#NAME?</v>
      </c>
      <c r="H15" s="34" t="e">
        <f ca="1">[2]!BexGetData("DP_1","00O2TNJGODT0K3USBW3W1AR4W","1","19","1")</f>
        <v>#NAME?</v>
      </c>
      <c r="I15" s="42" t="e">
        <f ca="1">[2]!BexGetData("DP_1","00O2TNJGODT0K3USBW3W1B3S0","1","19","1")</f>
        <v>#NAME?</v>
      </c>
      <c r="J15" s="34" t="e">
        <f ca="1">[2]!BexGetData("DP_1","00O2TNJGODT0K3USBW3W1BA3K","1","19","1")</f>
        <v>#NAME?</v>
      </c>
    </row>
    <row r="16" spans="1:10" x14ac:dyDescent="0.25">
      <c r="A16" s="33" t="s">
        <v>48</v>
      </c>
      <c r="B16" s="33" t="s">
        <v>48</v>
      </c>
      <c r="C16" s="37" t="s">
        <v>49</v>
      </c>
      <c r="D16" s="43" t="e">
        <f ca="1">[2]!BexGetData("DP_1","00O2TNJGODT0K3USBW3W18AN4","1","19","SUMME")</f>
        <v>#NAME?</v>
      </c>
      <c r="E16" s="39" t="e">
        <f ca="1">[2]!BexGetData("DP_1","00O2TNJGODT0K3USBW3W1A1UO","1","19","SUMME")</f>
        <v>#NAME?</v>
      </c>
      <c r="F16" s="39" t="e">
        <f ca="1">[2]!BexGetData("DP_1","00O2TNJGODT0K3USBW3W1A868","1","19","SUMME")</f>
        <v>#NAME?</v>
      </c>
      <c r="G16" s="38" t="e">
        <f ca="1">[2]!BexGetData("DP_1","00O2TNJGODT0K3USBW3W1AKTC","1","19","SUMME")</f>
        <v>#NAME?</v>
      </c>
      <c r="H16" s="38" t="e">
        <f ca="1">[2]!BexGetData("DP_1","00O2TNJGODT0K3USBW3W1AR4W","1","19","SUMME")</f>
        <v>#NAME?</v>
      </c>
      <c r="I16" s="44" t="e">
        <f ca="1">[2]!BexGetData("DP_1","00O2TNJGODT0K3USBW3W1B3S0","1","19","SUMME")</f>
        <v>#NAME?</v>
      </c>
      <c r="J16" s="38" t="e">
        <f ca="1">[2]!BexGetData("DP_1","00O2TNJGODT0K3USBW3W1BA3K","1","19","SUMME")</f>
        <v>#NAME?</v>
      </c>
    </row>
    <row r="17" spans="1:10" x14ac:dyDescent="0.25">
      <c r="A17" s="33" t="s">
        <v>48</v>
      </c>
      <c r="B17" s="37" t="s">
        <v>49</v>
      </c>
      <c r="C17" s="37" t="s">
        <v>48</v>
      </c>
      <c r="D17" s="38" t="e">
        <f ca="1">[2]!BexGetData("DP_1","00O2TNJGODT0K3USBW3W18AN4","1","SUMME","SUMME")</f>
        <v>#NAME?</v>
      </c>
      <c r="E17" s="39" t="e">
        <f ca="1">[2]!BexGetData("DP_1","00O2TNJGODT0K3USBW3W1A1UO","1","SUMME","SUMME")</f>
        <v>#NAME?</v>
      </c>
      <c r="F17" s="38" t="e">
        <f ca="1">[2]!BexGetData("DP_1","00O2TNJGODT0K3USBW3W1A868","1","SUMME","SUMME")</f>
        <v>#NAME?</v>
      </c>
      <c r="G17" s="38" t="e">
        <f ca="1">[2]!BexGetData("DP_1","00O2TNJGODT0K3USBW3W1AKTC","1","SUMME","SUMME")</f>
        <v>#NAME?</v>
      </c>
      <c r="H17" s="38" t="e">
        <f ca="1">[2]!BexGetData("DP_1","00O2TNJGODT0K3USBW3W1AR4W","1","SUMME","SUMME")</f>
        <v>#NAME?</v>
      </c>
      <c r="I17" s="40" t="e">
        <f ca="1">[2]!BexGetData("DP_1","00O2TNJGODT0K3USBW3W1B3S0","1","SUMME","SUMME")</f>
        <v>#NAME?</v>
      </c>
      <c r="J17" s="38" t="e">
        <f ca="1">[2]!BexGetData("DP_1","00O2TNJGODT0K3USBW3W1BA3K","1","SUMME","SUMME")</f>
        <v>#NAME?</v>
      </c>
    </row>
    <row r="18" spans="1:10" x14ac:dyDescent="0.25">
      <c r="A18" s="33" t="s">
        <v>55</v>
      </c>
      <c r="B18" s="33" t="s">
        <v>46</v>
      </c>
      <c r="C18" s="33" t="s">
        <v>46</v>
      </c>
      <c r="D18" s="34" t="e">
        <f ca="1">[2]!BexGetData("DP_1","00O2TNJGODT0K3USBW3W18AN4","4","41","1")</f>
        <v>#NAME?</v>
      </c>
      <c r="E18" s="35" t="e">
        <f ca="1">[2]!BexGetData("DP_1","00O2TNJGODT0K3USBW3W1A1UO","4","41","1")</f>
        <v>#NAME?</v>
      </c>
      <c r="F18" s="34" t="e">
        <f ca="1">[2]!BexGetData("DP_1","00O2TNJGODT0K3USBW3W1A868","4","41","1")</f>
        <v>#NAME?</v>
      </c>
      <c r="G18" s="34" t="e">
        <f ca="1">[2]!BexGetData("DP_1","00O2TNJGODT0K3USBW3W1AKTC","4","41","1")</f>
        <v>#NAME?</v>
      </c>
      <c r="H18" s="34" t="e">
        <f ca="1">[2]!BexGetData("DP_1","00O2TNJGODT0K3USBW3W1AR4W","4","41","1")</f>
        <v>#NAME?</v>
      </c>
      <c r="I18" s="36" t="e">
        <f ca="1">[2]!BexGetData("DP_1","00O2TNJGODT0K3USBW3W1B3S0","4","41","1")</f>
        <v>#NAME?</v>
      </c>
      <c r="J18" s="34" t="e">
        <f ca="1">[2]!BexGetData("DP_1","00O2TNJGODT0K3USBW3W1BA3K","4","41","1")</f>
        <v>#NAME?</v>
      </c>
    </row>
    <row r="19" spans="1:10" x14ac:dyDescent="0.25">
      <c r="A19" s="33" t="s">
        <v>48</v>
      </c>
      <c r="B19" s="33" t="s">
        <v>48</v>
      </c>
      <c r="C19" s="37" t="s">
        <v>49</v>
      </c>
      <c r="D19" s="38" t="e">
        <f ca="1">[2]!BexGetData("DP_1","00O2TNJGODT0K3USBW3W18AN4","4","41","SUMME")</f>
        <v>#NAME?</v>
      </c>
      <c r="E19" s="39" t="e">
        <f ca="1">[2]!BexGetData("DP_1","00O2TNJGODT0K3USBW3W1A1UO","4","41","SUMME")</f>
        <v>#NAME?</v>
      </c>
      <c r="F19" s="38" t="e">
        <f ca="1">[2]!BexGetData("DP_1","00O2TNJGODT0K3USBW3W1A868","4","41","SUMME")</f>
        <v>#NAME?</v>
      </c>
      <c r="G19" s="38" t="e">
        <f ca="1">[2]!BexGetData("DP_1","00O2TNJGODT0K3USBW3W1AKTC","4","41","SUMME")</f>
        <v>#NAME?</v>
      </c>
      <c r="H19" s="38" t="e">
        <f ca="1">[2]!BexGetData("DP_1","00O2TNJGODT0K3USBW3W1AR4W","4","41","SUMME")</f>
        <v>#NAME?</v>
      </c>
      <c r="I19" s="40" t="e">
        <f ca="1">[2]!BexGetData("DP_1","00O2TNJGODT0K3USBW3W1B3S0","4","41","SUMME")</f>
        <v>#NAME?</v>
      </c>
      <c r="J19" s="38" t="e">
        <f ca="1">[2]!BexGetData("DP_1","00O2TNJGODT0K3USBW3W1BA3K","4","41","SUMME")</f>
        <v>#NAME?</v>
      </c>
    </row>
    <row r="20" spans="1:10" x14ac:dyDescent="0.25">
      <c r="A20" s="33" t="s">
        <v>48</v>
      </c>
      <c r="B20" s="33" t="s">
        <v>50</v>
      </c>
      <c r="C20" s="33" t="s">
        <v>46</v>
      </c>
      <c r="D20" s="34" t="e">
        <f ca="1">[2]!BexGetData("DP_1","00O2TNJGODT0K3USBW3W18AN4","4","43","1")</f>
        <v>#NAME?</v>
      </c>
      <c r="E20" s="35" t="e">
        <f ca="1">[2]!BexGetData("DP_1","00O2TNJGODT0K3USBW3W1A1UO","4","43","1")</f>
        <v>#NAME?</v>
      </c>
      <c r="F20" s="34" t="e">
        <f ca="1">[2]!BexGetData("DP_1","00O2TNJGODT0K3USBW3W1A868","4","43","1")</f>
        <v>#NAME?</v>
      </c>
      <c r="G20" s="34" t="e">
        <f ca="1">[2]!BexGetData("DP_1","00O2TNJGODT0K3USBW3W1AKTC","4","43","1")</f>
        <v>#NAME?</v>
      </c>
      <c r="H20" s="34" t="e">
        <f ca="1">[2]!BexGetData("DP_1","00O2TNJGODT0K3USBW3W1AR4W","4","43","1")</f>
        <v>#NAME?</v>
      </c>
      <c r="I20" s="36" t="e">
        <f ca="1">[2]!BexGetData("DP_1","00O2TNJGODT0K3USBW3W1B3S0","4","43","1")</f>
        <v>#NAME?</v>
      </c>
      <c r="J20" s="34" t="e">
        <f ca="1">[2]!BexGetData("DP_1","00O2TNJGODT0K3USBW3W1BA3K","4","43","1")</f>
        <v>#NAME?</v>
      </c>
    </row>
    <row r="21" spans="1:10" x14ac:dyDescent="0.25">
      <c r="A21" s="33" t="s">
        <v>48</v>
      </c>
      <c r="B21" s="33" t="s">
        <v>48</v>
      </c>
      <c r="C21" s="37" t="s">
        <v>49</v>
      </c>
      <c r="D21" s="38" t="e">
        <f ca="1">[2]!BexGetData("DP_1","00O2TNJGODT0K3USBW3W18AN4","4","43","SUMME")</f>
        <v>#NAME?</v>
      </c>
      <c r="E21" s="39" t="e">
        <f ca="1">[2]!BexGetData("DP_1","00O2TNJGODT0K3USBW3W1A1UO","4","43","SUMME")</f>
        <v>#NAME?</v>
      </c>
      <c r="F21" s="38" t="e">
        <f ca="1">[2]!BexGetData("DP_1","00O2TNJGODT0K3USBW3W1A868","4","43","SUMME")</f>
        <v>#NAME?</v>
      </c>
      <c r="G21" s="38" t="e">
        <f ca="1">[2]!BexGetData("DP_1","00O2TNJGODT0K3USBW3W1AKTC","4","43","SUMME")</f>
        <v>#NAME?</v>
      </c>
      <c r="H21" s="38" t="e">
        <f ca="1">[2]!BexGetData("DP_1","00O2TNJGODT0K3USBW3W1AR4W","4","43","SUMME")</f>
        <v>#NAME?</v>
      </c>
      <c r="I21" s="40" t="e">
        <f ca="1">[2]!BexGetData("DP_1","00O2TNJGODT0K3USBW3W1B3S0","4","43","SUMME")</f>
        <v>#NAME?</v>
      </c>
      <c r="J21" s="38" t="e">
        <f ca="1">[2]!BexGetData("DP_1","00O2TNJGODT0K3USBW3W1BA3K","4","43","SUMME")</f>
        <v>#NAME?</v>
      </c>
    </row>
    <row r="22" spans="1:10" x14ac:dyDescent="0.25">
      <c r="A22" s="33" t="s">
        <v>48</v>
      </c>
      <c r="B22" s="33" t="s">
        <v>51</v>
      </c>
      <c r="C22" s="33" t="s">
        <v>46</v>
      </c>
      <c r="D22" s="34" t="e">
        <f ca="1">[2]!BexGetData("DP_1","00O2TNJGODT0K3USBW3W18AN4","4","45","1")</f>
        <v>#NAME?</v>
      </c>
      <c r="E22" s="35" t="e">
        <f ca="1">[2]!BexGetData("DP_1","00O2TNJGODT0K3USBW3W1A1UO","4","45","1")</f>
        <v>#NAME?</v>
      </c>
      <c r="F22" s="34" t="e">
        <f ca="1">[2]!BexGetData("DP_1","00O2TNJGODT0K3USBW3W1A868","4","45","1")</f>
        <v>#NAME?</v>
      </c>
      <c r="G22" s="34" t="e">
        <f ca="1">[2]!BexGetData("DP_1","00O2TNJGODT0K3USBW3W1AKTC","4","45","1")</f>
        <v>#NAME?</v>
      </c>
      <c r="H22" s="34" t="e">
        <f ca="1">[2]!BexGetData("DP_1","00O2TNJGODT0K3USBW3W1AR4W","4","45","1")</f>
        <v>#NAME?</v>
      </c>
      <c r="I22" s="36" t="e">
        <f ca="1">[2]!BexGetData("DP_1","00O2TNJGODT0K3USBW3W1B3S0","4","45","1")</f>
        <v>#NAME?</v>
      </c>
      <c r="J22" s="34" t="e">
        <f ca="1">[2]!BexGetData("DP_1","00O2TNJGODT0K3USBW3W1BA3K","4","45","1")</f>
        <v>#NAME?</v>
      </c>
    </row>
    <row r="23" spans="1:10" x14ac:dyDescent="0.25">
      <c r="A23" s="33" t="s">
        <v>48</v>
      </c>
      <c r="B23" s="33" t="s">
        <v>48</v>
      </c>
      <c r="C23" s="33" t="s">
        <v>55</v>
      </c>
      <c r="D23" s="41" t="e">
        <f ca="1">[2]!BexGetData("DP_1","00O2TNJGODT0K3USBW3W18AN4","4","45","4")</f>
        <v>#NAME?</v>
      </c>
      <c r="E23" s="35" t="e">
        <f ca="1">[2]!BexGetData("DP_1","00O2TNJGODT0K3USBW3W1A1UO","4","45","4")</f>
        <v>#NAME?</v>
      </c>
      <c r="F23" s="35" t="e">
        <f ca="1">[2]!BexGetData("DP_1","00O2TNJGODT0K3USBW3W1A868","4","45","4")</f>
        <v>#NAME?</v>
      </c>
      <c r="G23" s="34" t="e">
        <f ca="1">[2]!BexGetData("DP_1","00O2TNJGODT0K3USBW3W1AKTC","4","45","4")</f>
        <v>#NAME?</v>
      </c>
      <c r="H23" s="34" t="e">
        <f ca="1">[2]!BexGetData("DP_1","00O2TNJGODT0K3USBW3W1AR4W","4","45","4")</f>
        <v>#NAME?</v>
      </c>
      <c r="I23" s="42" t="e">
        <f ca="1">[2]!BexGetData("DP_1","00O2TNJGODT0K3USBW3W1B3S0","4","45","4")</f>
        <v>#NAME?</v>
      </c>
      <c r="J23" s="34" t="e">
        <f ca="1">[2]!BexGetData("DP_1","00O2TNJGODT0K3USBW3W1BA3K","4","45","4")</f>
        <v>#NAME?</v>
      </c>
    </row>
    <row r="24" spans="1:10" x14ac:dyDescent="0.25">
      <c r="A24" s="33" t="s">
        <v>48</v>
      </c>
      <c r="B24" s="33" t="s">
        <v>48</v>
      </c>
      <c r="C24" s="37" t="s">
        <v>49</v>
      </c>
      <c r="D24" s="38" t="e">
        <f ca="1">[2]!BexGetData("DP_1","00O2TNJGODT0K3USBW3W18AN4","4","45","SUMME")</f>
        <v>#NAME?</v>
      </c>
      <c r="E24" s="39" t="e">
        <f ca="1">[2]!BexGetData("DP_1","00O2TNJGODT0K3USBW3W1A1UO","4","45","SUMME")</f>
        <v>#NAME?</v>
      </c>
      <c r="F24" s="38" t="e">
        <f ca="1">[2]!BexGetData("DP_1","00O2TNJGODT0K3USBW3W1A868","4","45","SUMME")</f>
        <v>#NAME?</v>
      </c>
      <c r="G24" s="38" t="e">
        <f ca="1">[2]!BexGetData("DP_1","00O2TNJGODT0K3USBW3W1AKTC","4","45","SUMME")</f>
        <v>#NAME?</v>
      </c>
      <c r="H24" s="38" t="e">
        <f ca="1">[2]!BexGetData("DP_1","00O2TNJGODT0K3USBW3W1AR4W","4","45","SUMME")</f>
        <v>#NAME?</v>
      </c>
      <c r="I24" s="40" t="e">
        <f ca="1">[2]!BexGetData("DP_1","00O2TNJGODT0K3USBW3W1B3S0","4","45","SUMME")</f>
        <v>#NAME?</v>
      </c>
      <c r="J24" s="38" t="e">
        <f ca="1">[2]!BexGetData("DP_1","00O2TNJGODT0K3USBW3W1BA3K","4","45","SUMME")</f>
        <v>#NAME?</v>
      </c>
    </row>
    <row r="25" spans="1:10" x14ac:dyDescent="0.25">
      <c r="A25" s="33" t="s">
        <v>48</v>
      </c>
      <c r="B25" s="33" t="s">
        <v>54</v>
      </c>
      <c r="C25" s="33" t="s">
        <v>46</v>
      </c>
      <c r="D25" s="34" t="e">
        <f ca="1">[2]!BexGetData("DP_1","00O2TNJGODT0K3USBW3W18AN4","4","49","1")</f>
        <v>#NAME?</v>
      </c>
      <c r="E25" s="35" t="e">
        <f ca="1">[2]!BexGetData("DP_1","00O2TNJGODT0K3USBW3W1A1UO","4","49","1")</f>
        <v>#NAME?</v>
      </c>
      <c r="F25" s="34" t="e">
        <f ca="1">[2]!BexGetData("DP_1","00O2TNJGODT0K3USBW3W1A868","4","49","1")</f>
        <v>#NAME?</v>
      </c>
      <c r="G25" s="34" t="e">
        <f ca="1">[2]!BexGetData("DP_1","00O2TNJGODT0K3USBW3W1AKTC","4","49","1")</f>
        <v>#NAME?</v>
      </c>
      <c r="H25" s="34" t="e">
        <f ca="1">[2]!BexGetData("DP_1","00O2TNJGODT0K3USBW3W1AR4W","4","49","1")</f>
        <v>#NAME?</v>
      </c>
      <c r="I25" s="36" t="e">
        <f ca="1">[2]!BexGetData("DP_1","00O2TNJGODT0K3USBW3W1B3S0","4","49","1")</f>
        <v>#NAME?</v>
      </c>
      <c r="J25" s="34" t="e">
        <f ca="1">[2]!BexGetData("DP_1","00O2TNJGODT0K3USBW3W1BA3K","4","49","1")</f>
        <v>#NAME?</v>
      </c>
    </row>
    <row r="26" spans="1:10" x14ac:dyDescent="0.25">
      <c r="A26" s="33" t="s">
        <v>48</v>
      </c>
      <c r="B26" s="33" t="s">
        <v>48</v>
      </c>
      <c r="C26" s="37" t="s">
        <v>49</v>
      </c>
      <c r="D26" s="38" t="e">
        <f ca="1">[2]!BexGetData("DP_1","00O2TNJGODT0K3USBW3W18AN4","4","49","SUMME")</f>
        <v>#NAME?</v>
      </c>
      <c r="E26" s="39" t="e">
        <f ca="1">[2]!BexGetData("DP_1","00O2TNJGODT0K3USBW3W1A1UO","4","49","SUMME")</f>
        <v>#NAME?</v>
      </c>
      <c r="F26" s="38" t="e">
        <f ca="1">[2]!BexGetData("DP_1","00O2TNJGODT0K3USBW3W1A868","4","49","SUMME")</f>
        <v>#NAME?</v>
      </c>
      <c r="G26" s="38" t="e">
        <f ca="1">[2]!BexGetData("DP_1","00O2TNJGODT0K3USBW3W1AKTC","4","49","SUMME")</f>
        <v>#NAME?</v>
      </c>
      <c r="H26" s="38" t="e">
        <f ca="1">[2]!BexGetData("DP_1","00O2TNJGODT0K3USBW3W1AR4W","4","49","SUMME")</f>
        <v>#NAME?</v>
      </c>
      <c r="I26" s="40" t="e">
        <f ca="1">[2]!BexGetData("DP_1","00O2TNJGODT0K3USBW3W1B3S0","4","49","SUMME")</f>
        <v>#NAME?</v>
      </c>
      <c r="J26" s="38" t="e">
        <f ca="1">[2]!BexGetData("DP_1","00O2TNJGODT0K3USBW3W1BA3K","4","49","SUMME")</f>
        <v>#NAME?</v>
      </c>
    </row>
    <row r="27" spans="1:10" x14ac:dyDescent="0.25">
      <c r="A27" s="33" t="s">
        <v>48</v>
      </c>
      <c r="B27" s="37" t="s">
        <v>49</v>
      </c>
      <c r="C27" s="37" t="s">
        <v>48</v>
      </c>
      <c r="D27" s="38" t="e">
        <f ca="1">[2]!BexGetData("DP_1","00O2TNJGODT0K3USBW3W18AN4","4","SUMME","SUMME")</f>
        <v>#NAME?</v>
      </c>
      <c r="E27" s="39" t="e">
        <f ca="1">[2]!BexGetData("DP_1","00O2TNJGODT0K3USBW3W1A1UO","4","SUMME","SUMME")</f>
        <v>#NAME?</v>
      </c>
      <c r="F27" s="38" t="e">
        <f ca="1">[2]!BexGetData("DP_1","00O2TNJGODT0K3USBW3W1A868","4","SUMME","SUMME")</f>
        <v>#NAME?</v>
      </c>
      <c r="G27" s="38" t="e">
        <f ca="1">[2]!BexGetData("DP_1","00O2TNJGODT0K3USBW3W1AKTC","4","SUMME","SUMME")</f>
        <v>#NAME?</v>
      </c>
      <c r="H27" s="38" t="e">
        <f ca="1">[2]!BexGetData("DP_1","00O2TNJGODT0K3USBW3W1AR4W","4","SUMME","SUMME")</f>
        <v>#NAME?</v>
      </c>
      <c r="I27" s="40" t="e">
        <f ca="1">[2]!BexGetData("DP_1","00O2TNJGODT0K3USBW3W1B3S0","4","SUMME","SUMME")</f>
        <v>#NAME?</v>
      </c>
      <c r="J27" s="38" t="e">
        <f ca="1">[2]!BexGetData("DP_1","00O2TNJGODT0K3USBW3W1BA3K","4","SUMME","SUMME")</f>
        <v>#NAME?</v>
      </c>
    </row>
    <row r="28" spans="1:10" x14ac:dyDescent="0.25">
      <c r="A28" s="33" t="s">
        <v>51</v>
      </c>
      <c r="B28" s="33" t="s">
        <v>46</v>
      </c>
      <c r="C28" s="33" t="s">
        <v>46</v>
      </c>
      <c r="D28" s="34" t="e">
        <f ca="1">[2]!BexGetData("DP_1","00O2TNJGODT0K3USBW3W18AN4","5","51","1")</f>
        <v>#NAME?</v>
      </c>
      <c r="E28" s="35" t="e">
        <f ca="1">[2]!BexGetData("DP_1","00O2TNJGODT0K3USBW3W1A1UO","5","51","1")</f>
        <v>#NAME?</v>
      </c>
      <c r="F28" s="34" t="e">
        <f ca="1">[2]!BexGetData("DP_1","00O2TNJGODT0K3USBW3W1A868","5","51","1")</f>
        <v>#NAME?</v>
      </c>
      <c r="G28" s="34" t="e">
        <f ca="1">[2]!BexGetData("DP_1","00O2TNJGODT0K3USBW3W1AKTC","5","51","1")</f>
        <v>#NAME?</v>
      </c>
      <c r="H28" s="34" t="e">
        <f ca="1">[2]!BexGetData("DP_1","00O2TNJGODT0K3USBW3W1AR4W","5","51","1")</f>
        <v>#NAME?</v>
      </c>
      <c r="I28" s="36" t="e">
        <f ca="1">[2]!BexGetData("DP_1","00O2TNJGODT0K3USBW3W1B3S0","5","51","1")</f>
        <v>#NAME?</v>
      </c>
      <c r="J28" s="34" t="e">
        <f ca="1">[2]!BexGetData("DP_1","00O2TNJGODT0K3USBW3W1BA3K","5","51","1")</f>
        <v>#NAME?</v>
      </c>
    </row>
    <row r="29" spans="1:10" x14ac:dyDescent="0.25">
      <c r="A29" s="33" t="s">
        <v>48</v>
      </c>
      <c r="B29" s="33" t="s">
        <v>48</v>
      </c>
      <c r="C29" s="33" t="s">
        <v>47</v>
      </c>
      <c r="D29" s="34" t="e">
        <f ca="1">[2]!BexGetData("DP_1","00O2TNJGODT0K3USBW3W18AN4","5","51","2")</f>
        <v>#NAME?</v>
      </c>
      <c r="E29" s="35" t="e">
        <f ca="1">[2]!BexGetData("DP_1","00O2TNJGODT0K3USBW3W1A1UO","5","51","2")</f>
        <v>#NAME?</v>
      </c>
      <c r="F29" s="34" t="e">
        <f ca="1">[2]!BexGetData("DP_1","00O2TNJGODT0K3USBW3W1A868","5","51","2")</f>
        <v>#NAME?</v>
      </c>
      <c r="G29" s="34" t="e">
        <f ca="1">[2]!BexGetData("DP_1","00O2TNJGODT0K3USBW3W1AKTC","5","51","2")</f>
        <v>#NAME?</v>
      </c>
      <c r="H29" s="34" t="e">
        <f ca="1">[2]!BexGetData("DP_1","00O2TNJGODT0K3USBW3W1AR4W","5","51","2")</f>
        <v>#NAME?</v>
      </c>
      <c r="I29" s="36" t="e">
        <f ca="1">[2]!BexGetData("DP_1","00O2TNJGODT0K3USBW3W1B3S0","5","51","2")</f>
        <v>#NAME?</v>
      </c>
      <c r="J29" s="34" t="e">
        <f ca="1">[2]!BexGetData("DP_1","00O2TNJGODT0K3USBW3W1BA3K","5","51","2")</f>
        <v>#NAME?</v>
      </c>
    </row>
    <row r="30" spans="1:10" x14ac:dyDescent="0.25">
      <c r="A30" s="33" t="s">
        <v>48</v>
      </c>
      <c r="B30" s="33" t="s">
        <v>48</v>
      </c>
      <c r="C30" s="33" t="s">
        <v>55</v>
      </c>
      <c r="D30" s="41" t="e">
        <f ca="1">[2]!BexGetData("DP_1","00O2TNJGODT0K3USBW3W18AN4","5","51","4")</f>
        <v>#NAME?</v>
      </c>
      <c r="E30" s="35" t="e">
        <f ca="1">[2]!BexGetData("DP_1","00O2TNJGODT0K3USBW3W1A1UO","5","51","4")</f>
        <v>#NAME?</v>
      </c>
      <c r="F30" s="35" t="e">
        <f ca="1">[2]!BexGetData("DP_1","00O2TNJGODT0K3USBW3W1A868","5","51","4")</f>
        <v>#NAME?</v>
      </c>
      <c r="G30" s="34" t="e">
        <f ca="1">[2]!BexGetData("DP_1","00O2TNJGODT0K3USBW3W1AKTC","5","51","4")</f>
        <v>#NAME?</v>
      </c>
      <c r="H30" s="34" t="e">
        <f ca="1">[2]!BexGetData("DP_1","00O2TNJGODT0K3USBW3W1AR4W","5","51","4")</f>
        <v>#NAME?</v>
      </c>
      <c r="I30" s="42" t="e">
        <f ca="1">[2]!BexGetData("DP_1","00O2TNJGODT0K3USBW3W1B3S0","5","51","4")</f>
        <v>#NAME?</v>
      </c>
      <c r="J30" s="34" t="e">
        <f ca="1">[2]!BexGetData("DP_1","00O2TNJGODT0K3USBW3W1BA3K","5","51","4")</f>
        <v>#NAME?</v>
      </c>
    </row>
    <row r="31" spans="1:10" x14ac:dyDescent="0.25">
      <c r="A31" s="33" t="s">
        <v>48</v>
      </c>
      <c r="B31" s="33" t="s">
        <v>48</v>
      </c>
      <c r="C31" s="33" t="s">
        <v>51</v>
      </c>
      <c r="D31" s="34" t="e">
        <f ca="1">[2]!BexGetData("DP_1","00O2TNJGODT0K3USBW3W18AN4","5","51","5")</f>
        <v>#NAME?</v>
      </c>
      <c r="E31" s="35" t="e">
        <f ca="1">[2]!BexGetData("DP_1","00O2TNJGODT0K3USBW3W1A1UO","5","51","5")</f>
        <v>#NAME?</v>
      </c>
      <c r="F31" s="34" t="e">
        <f ca="1">[2]!BexGetData("DP_1","00O2TNJGODT0K3USBW3W1A868","5","51","5")</f>
        <v>#NAME?</v>
      </c>
      <c r="G31" s="34" t="e">
        <f ca="1">[2]!BexGetData("DP_1","00O2TNJGODT0K3USBW3W1AKTC","5","51","5")</f>
        <v>#NAME?</v>
      </c>
      <c r="H31" s="34" t="e">
        <f ca="1">[2]!BexGetData("DP_1","00O2TNJGODT0K3USBW3W1AR4W","5","51","5")</f>
        <v>#NAME?</v>
      </c>
      <c r="I31" s="36" t="e">
        <f ca="1">[2]!BexGetData("DP_1","00O2TNJGODT0K3USBW3W1B3S0","5","51","5")</f>
        <v>#NAME?</v>
      </c>
      <c r="J31" s="34" t="e">
        <f ca="1">[2]!BexGetData("DP_1","00O2TNJGODT0K3USBW3W1BA3K","5","51","5")</f>
        <v>#NAME?</v>
      </c>
    </row>
    <row r="32" spans="1:10" x14ac:dyDescent="0.25">
      <c r="A32" s="33" t="s">
        <v>48</v>
      </c>
      <c r="B32" s="33" t="s">
        <v>48</v>
      </c>
      <c r="C32" s="33" t="s">
        <v>56</v>
      </c>
      <c r="D32" s="34" t="e">
        <f ca="1">[2]!BexGetData("DP_1","00O2TNJGODT0K3USBW3W18AN4","5","51","6")</f>
        <v>#NAME?</v>
      </c>
      <c r="E32" s="35" t="e">
        <f ca="1">[2]!BexGetData("DP_1","00O2TNJGODT0K3USBW3W1A1UO","5","51","6")</f>
        <v>#NAME?</v>
      </c>
      <c r="F32" s="34" t="e">
        <f ca="1">[2]!BexGetData("DP_1","00O2TNJGODT0K3USBW3W1A868","5","51","6")</f>
        <v>#NAME?</v>
      </c>
      <c r="G32" s="34" t="e">
        <f ca="1">[2]!BexGetData("DP_1","00O2TNJGODT0K3USBW3W1AKTC","5","51","6")</f>
        <v>#NAME?</v>
      </c>
      <c r="H32" s="34" t="e">
        <f ca="1">[2]!BexGetData("DP_1","00O2TNJGODT0K3USBW3W1AR4W","5","51","6")</f>
        <v>#NAME?</v>
      </c>
      <c r="I32" s="36" t="e">
        <f ca="1">[2]!BexGetData("DP_1","00O2TNJGODT0K3USBW3W1B3S0","5","51","6")</f>
        <v>#NAME?</v>
      </c>
      <c r="J32" s="34" t="e">
        <f ca="1">[2]!BexGetData("DP_1","00O2TNJGODT0K3USBW3W1BA3K","5","51","6")</f>
        <v>#NAME?</v>
      </c>
    </row>
    <row r="33" spans="1:10" x14ac:dyDescent="0.25">
      <c r="A33" s="33" t="s">
        <v>48</v>
      </c>
      <c r="B33" s="33" t="s">
        <v>48</v>
      </c>
      <c r="C33" s="33" t="s">
        <v>52</v>
      </c>
      <c r="D33" s="34" t="e">
        <f ca="1">[2]!BexGetData("DP_1","00O2TNJGODT0K3USBW3W18AN4","5","51","7")</f>
        <v>#NAME?</v>
      </c>
      <c r="E33" s="35" t="e">
        <f ca="1">[2]!BexGetData("DP_1","00O2TNJGODT0K3USBW3W1A1UO","5","51","7")</f>
        <v>#NAME?</v>
      </c>
      <c r="F33" s="34" t="e">
        <f ca="1">[2]!BexGetData("DP_1","00O2TNJGODT0K3USBW3W1A868","5","51","7")</f>
        <v>#NAME?</v>
      </c>
      <c r="G33" s="34" t="e">
        <f ca="1">[2]!BexGetData("DP_1","00O2TNJGODT0K3USBW3W1AKTC","5","51","7")</f>
        <v>#NAME?</v>
      </c>
      <c r="H33" s="34" t="e">
        <f ca="1">[2]!BexGetData("DP_1","00O2TNJGODT0K3USBW3W1AR4W","5","51","7")</f>
        <v>#NAME?</v>
      </c>
      <c r="I33" s="36" t="e">
        <f ca="1">[2]!BexGetData("DP_1","00O2TNJGODT0K3USBW3W1B3S0","5","51","7")</f>
        <v>#NAME?</v>
      </c>
      <c r="J33" s="34" t="e">
        <f ca="1">[2]!BexGetData("DP_1","00O2TNJGODT0K3USBW3W1BA3K","5","51","7")</f>
        <v>#NAME?</v>
      </c>
    </row>
    <row r="34" spans="1:10" x14ac:dyDescent="0.25">
      <c r="A34" s="33" t="s">
        <v>48</v>
      </c>
      <c r="B34" s="33" t="s">
        <v>48</v>
      </c>
      <c r="C34" s="37" t="s">
        <v>49</v>
      </c>
      <c r="D34" s="38" t="e">
        <f ca="1">[2]!BexGetData("DP_1","00O2TNJGODT0K3USBW3W18AN4","5","51","SUMME")</f>
        <v>#NAME?</v>
      </c>
      <c r="E34" s="39" t="e">
        <f ca="1">[2]!BexGetData("DP_1","00O2TNJGODT0K3USBW3W1A1UO","5","51","SUMME")</f>
        <v>#NAME?</v>
      </c>
      <c r="F34" s="38" t="e">
        <f ca="1">[2]!BexGetData("DP_1","00O2TNJGODT0K3USBW3W1A868","5","51","SUMME")</f>
        <v>#NAME?</v>
      </c>
      <c r="G34" s="38" t="e">
        <f ca="1">[2]!BexGetData("DP_1","00O2TNJGODT0K3USBW3W1AKTC","5","51","SUMME")</f>
        <v>#NAME?</v>
      </c>
      <c r="H34" s="38" t="e">
        <f ca="1">[2]!BexGetData("DP_1","00O2TNJGODT0K3USBW3W1AR4W","5","51","SUMME")</f>
        <v>#NAME?</v>
      </c>
      <c r="I34" s="40" t="e">
        <f ca="1">[2]!BexGetData("DP_1","00O2TNJGODT0K3USBW3W1B3S0","5","51","SUMME")</f>
        <v>#NAME?</v>
      </c>
      <c r="J34" s="38" t="e">
        <f ca="1">[2]!BexGetData("DP_1","00O2TNJGODT0K3USBW3W1BA3K","5","51","SUMME")</f>
        <v>#NAME?</v>
      </c>
    </row>
    <row r="35" spans="1:10" x14ac:dyDescent="0.25">
      <c r="A35" s="33" t="s">
        <v>48</v>
      </c>
      <c r="B35" s="33" t="s">
        <v>47</v>
      </c>
      <c r="C35" s="33" t="s">
        <v>46</v>
      </c>
      <c r="D35" s="34" t="e">
        <f ca="1">[2]!BexGetData("DP_1","00O2TNJGODT0K3USBW3W18AN4","5","52","1")</f>
        <v>#NAME?</v>
      </c>
      <c r="E35" s="35" t="e">
        <f ca="1">[2]!BexGetData("DP_1","00O2TNJGODT0K3USBW3W1A1UO","5","52","1")</f>
        <v>#NAME?</v>
      </c>
      <c r="F35" s="34" t="e">
        <f ca="1">[2]!BexGetData("DP_1","00O2TNJGODT0K3USBW3W1A868","5","52","1")</f>
        <v>#NAME?</v>
      </c>
      <c r="G35" s="34" t="e">
        <f ca="1">[2]!BexGetData("DP_1","00O2TNJGODT0K3USBW3W1AKTC","5","52","1")</f>
        <v>#NAME?</v>
      </c>
      <c r="H35" s="34" t="e">
        <f ca="1">[2]!BexGetData("DP_1","00O2TNJGODT0K3USBW3W1AR4W","5","52","1")</f>
        <v>#NAME?</v>
      </c>
      <c r="I35" s="36" t="e">
        <f ca="1">[2]!BexGetData("DP_1","00O2TNJGODT0K3USBW3W1B3S0","5","52","1")</f>
        <v>#NAME?</v>
      </c>
      <c r="J35" s="34" t="e">
        <f ca="1">[2]!BexGetData("DP_1","00O2TNJGODT0K3USBW3W1BA3K","5","52","1")</f>
        <v>#NAME?</v>
      </c>
    </row>
    <row r="36" spans="1:10" x14ac:dyDescent="0.25">
      <c r="A36" s="33" t="s">
        <v>48</v>
      </c>
      <c r="B36" s="33" t="s">
        <v>48</v>
      </c>
      <c r="C36" s="37" t="s">
        <v>49</v>
      </c>
      <c r="D36" s="38" t="e">
        <f ca="1">[2]!BexGetData("DP_1","00O2TNJGODT0K3USBW3W18AN4","5","52","SUMME")</f>
        <v>#NAME?</v>
      </c>
      <c r="E36" s="39" t="e">
        <f ca="1">[2]!BexGetData("DP_1","00O2TNJGODT0K3USBW3W1A1UO","5","52","SUMME")</f>
        <v>#NAME?</v>
      </c>
      <c r="F36" s="38" t="e">
        <f ca="1">[2]!BexGetData("DP_1","00O2TNJGODT0K3USBW3W1A868","5","52","SUMME")</f>
        <v>#NAME?</v>
      </c>
      <c r="G36" s="38" t="e">
        <f ca="1">[2]!BexGetData("DP_1","00O2TNJGODT0K3USBW3W1AKTC","5","52","SUMME")</f>
        <v>#NAME?</v>
      </c>
      <c r="H36" s="38" t="e">
        <f ca="1">[2]!BexGetData("DP_1","00O2TNJGODT0K3USBW3W1AR4W","5","52","SUMME")</f>
        <v>#NAME?</v>
      </c>
      <c r="I36" s="40" t="e">
        <f ca="1">[2]!BexGetData("DP_1","00O2TNJGODT0K3USBW3W1B3S0","5","52","SUMME")</f>
        <v>#NAME?</v>
      </c>
      <c r="J36" s="38" t="e">
        <f ca="1">[2]!BexGetData("DP_1","00O2TNJGODT0K3USBW3W1BA3K","5","52","SUMME")</f>
        <v>#NAME?</v>
      </c>
    </row>
    <row r="37" spans="1:10" x14ac:dyDescent="0.25">
      <c r="A37" s="33" t="s">
        <v>48</v>
      </c>
      <c r="B37" s="37" t="s">
        <v>49</v>
      </c>
      <c r="C37" s="37" t="s">
        <v>48</v>
      </c>
      <c r="D37" s="38" t="e">
        <f ca="1">[2]!BexGetData("DP_1","00O2TNJGODT0K3USBW3W18AN4","5","SUMME","SUMME")</f>
        <v>#NAME?</v>
      </c>
      <c r="E37" s="39" t="e">
        <f ca="1">[2]!BexGetData("DP_1","00O2TNJGODT0K3USBW3W1A1UO","5","SUMME","SUMME")</f>
        <v>#NAME?</v>
      </c>
      <c r="F37" s="38" t="e">
        <f ca="1">[2]!BexGetData("DP_1","00O2TNJGODT0K3USBW3W1A868","5","SUMME","SUMME")</f>
        <v>#NAME?</v>
      </c>
      <c r="G37" s="38" t="e">
        <f ca="1">[2]!BexGetData("DP_1","00O2TNJGODT0K3USBW3W1AKTC","5","SUMME","SUMME")</f>
        <v>#NAME?</v>
      </c>
      <c r="H37" s="38" t="e">
        <f ca="1">[2]!BexGetData("DP_1","00O2TNJGODT0K3USBW3W1AR4W","5","SUMME","SUMME")</f>
        <v>#NAME?</v>
      </c>
      <c r="I37" s="40" t="e">
        <f ca="1">[2]!BexGetData("DP_1","00O2TNJGODT0K3USBW3W1B3S0","5","SUMME","SUMME")</f>
        <v>#NAME?</v>
      </c>
      <c r="J37" s="38" t="e">
        <f ca="1">[2]!BexGetData("DP_1","00O2TNJGODT0K3USBW3W1BA3K","5","SUMME","SUMME")</f>
        <v>#NAME?</v>
      </c>
    </row>
    <row r="38" spans="1:10" x14ac:dyDescent="0.25">
      <c r="A38" s="33" t="s">
        <v>56</v>
      </c>
      <c r="B38" s="33" t="s">
        <v>46</v>
      </c>
      <c r="C38" s="33" t="s">
        <v>46</v>
      </c>
      <c r="D38" s="34" t="e">
        <f ca="1">[2]!BexGetData("DP_1","00O2TNJGODT0K3USBW3W18AN4","6","61","1")</f>
        <v>#NAME?</v>
      </c>
      <c r="E38" s="35" t="e">
        <f ca="1">[2]!BexGetData("DP_1","00O2TNJGODT0K3USBW3W1A1UO","6","61","1")</f>
        <v>#NAME?</v>
      </c>
      <c r="F38" s="34" t="e">
        <f ca="1">[2]!BexGetData("DP_1","00O2TNJGODT0K3USBW3W1A868","6","61","1")</f>
        <v>#NAME?</v>
      </c>
      <c r="G38" s="34" t="e">
        <f ca="1">[2]!BexGetData("DP_1","00O2TNJGODT0K3USBW3W1AKTC","6","61","1")</f>
        <v>#NAME?</v>
      </c>
      <c r="H38" s="34" t="e">
        <f ca="1">[2]!BexGetData("DP_1","00O2TNJGODT0K3USBW3W1AR4W","6","61","1")</f>
        <v>#NAME?</v>
      </c>
      <c r="I38" s="36" t="e">
        <f ca="1">[2]!BexGetData("DP_1","00O2TNJGODT0K3USBW3W1B3S0","6","61","1")</f>
        <v>#NAME?</v>
      </c>
      <c r="J38" s="34" t="e">
        <f ca="1">[2]!BexGetData("DP_1","00O2TNJGODT0K3USBW3W1BA3K","6","61","1")</f>
        <v>#NAME?</v>
      </c>
    </row>
    <row r="39" spans="1:10" x14ac:dyDescent="0.25">
      <c r="A39" s="33" t="s">
        <v>48</v>
      </c>
      <c r="B39" s="33" t="s">
        <v>48</v>
      </c>
      <c r="C39" s="33" t="s">
        <v>55</v>
      </c>
      <c r="D39" s="41" t="e">
        <f ca="1">[2]!BexGetData("DP_1","00O2TNJGODT0K3USBW3W18AN4","6","61","4")</f>
        <v>#NAME?</v>
      </c>
      <c r="E39" s="35" t="e">
        <f ca="1">[2]!BexGetData("DP_1","00O2TNJGODT0K3USBW3W1A1UO","6","61","4")</f>
        <v>#NAME?</v>
      </c>
      <c r="F39" s="35" t="e">
        <f ca="1">[2]!BexGetData("DP_1","00O2TNJGODT0K3USBW3W1A868","6","61","4")</f>
        <v>#NAME?</v>
      </c>
      <c r="G39" s="34" t="e">
        <f ca="1">[2]!BexGetData("DP_1","00O2TNJGODT0K3USBW3W1AKTC","6","61","4")</f>
        <v>#NAME?</v>
      </c>
      <c r="H39" s="34" t="e">
        <f ca="1">[2]!BexGetData("DP_1","00O2TNJGODT0K3USBW3W1AR4W","6","61","4")</f>
        <v>#NAME?</v>
      </c>
      <c r="I39" s="42" t="e">
        <f ca="1">[2]!BexGetData("DP_1","00O2TNJGODT0K3USBW3W1B3S0","6","61","4")</f>
        <v>#NAME?</v>
      </c>
      <c r="J39" s="34" t="e">
        <f ca="1">[2]!BexGetData("DP_1","00O2TNJGODT0K3USBW3W1BA3K","6","61","4")</f>
        <v>#NAME?</v>
      </c>
    </row>
    <row r="40" spans="1:10" x14ac:dyDescent="0.25">
      <c r="A40" s="33" t="s">
        <v>48</v>
      </c>
      <c r="B40" s="33" t="s">
        <v>48</v>
      </c>
      <c r="C40" s="33" t="s">
        <v>51</v>
      </c>
      <c r="D40" s="34" t="e">
        <f ca="1">[2]!BexGetData("DP_1","00O2TNJGODT0K3USBW3W18AN4","6","61","5")</f>
        <v>#NAME?</v>
      </c>
      <c r="E40" s="35" t="e">
        <f ca="1">[2]!BexGetData("DP_1","00O2TNJGODT0K3USBW3W1A1UO","6","61","5")</f>
        <v>#NAME?</v>
      </c>
      <c r="F40" s="34" t="e">
        <f ca="1">[2]!BexGetData("DP_1","00O2TNJGODT0K3USBW3W1A868","6","61","5")</f>
        <v>#NAME?</v>
      </c>
      <c r="G40" s="34" t="e">
        <f ca="1">[2]!BexGetData("DP_1","00O2TNJGODT0K3USBW3W1AKTC","6","61","5")</f>
        <v>#NAME?</v>
      </c>
      <c r="H40" s="34" t="e">
        <f ca="1">[2]!BexGetData("DP_1","00O2TNJGODT0K3USBW3W1AR4W","6","61","5")</f>
        <v>#NAME?</v>
      </c>
      <c r="I40" s="36" t="e">
        <f ca="1">[2]!BexGetData("DP_1","00O2TNJGODT0K3USBW3W1B3S0","6","61","5")</f>
        <v>#NAME?</v>
      </c>
      <c r="J40" s="34" t="e">
        <f ca="1">[2]!BexGetData("DP_1","00O2TNJGODT0K3USBW3W1BA3K","6","61","5")</f>
        <v>#NAME?</v>
      </c>
    </row>
    <row r="41" spans="1:10" x14ac:dyDescent="0.25">
      <c r="A41" s="33" t="s">
        <v>48</v>
      </c>
      <c r="B41" s="33" t="s">
        <v>48</v>
      </c>
      <c r="C41" s="37" t="s">
        <v>49</v>
      </c>
      <c r="D41" s="38" t="e">
        <f ca="1">[2]!BexGetData("DP_1","00O2TNJGODT0K3USBW3W18AN4","6","61","SUMME")</f>
        <v>#NAME?</v>
      </c>
      <c r="E41" s="39" t="e">
        <f ca="1">[2]!BexGetData("DP_1","00O2TNJGODT0K3USBW3W1A1UO","6","61","SUMME")</f>
        <v>#NAME?</v>
      </c>
      <c r="F41" s="38" t="e">
        <f ca="1">[2]!BexGetData("DP_1","00O2TNJGODT0K3USBW3W1A868","6","61","SUMME")</f>
        <v>#NAME?</v>
      </c>
      <c r="G41" s="38" t="e">
        <f ca="1">[2]!BexGetData("DP_1","00O2TNJGODT0K3USBW3W1AKTC","6","61","SUMME")</f>
        <v>#NAME?</v>
      </c>
      <c r="H41" s="38" t="e">
        <f ca="1">[2]!BexGetData("DP_1","00O2TNJGODT0K3USBW3W1AR4W","6","61","SUMME")</f>
        <v>#NAME?</v>
      </c>
      <c r="I41" s="40" t="e">
        <f ca="1">[2]!BexGetData("DP_1","00O2TNJGODT0K3USBW3W1B3S0","6","61","SUMME")</f>
        <v>#NAME?</v>
      </c>
      <c r="J41" s="38" t="e">
        <f ca="1">[2]!BexGetData("DP_1","00O2TNJGODT0K3USBW3W1BA3K","6","61","SUMME")</f>
        <v>#NAME?</v>
      </c>
    </row>
    <row r="42" spans="1:10" x14ac:dyDescent="0.25">
      <c r="A42" s="33" t="s">
        <v>48</v>
      </c>
      <c r="B42" s="33" t="s">
        <v>54</v>
      </c>
      <c r="C42" s="33" t="s">
        <v>46</v>
      </c>
      <c r="D42" s="34" t="e">
        <f ca="1">[2]!BexGetData("DP_1","00O2TNJGODT0K3USBW3W18AN4","6","69","1")</f>
        <v>#NAME?</v>
      </c>
      <c r="E42" s="35" t="e">
        <f ca="1">[2]!BexGetData("DP_1","00O2TNJGODT0K3USBW3W1A1UO","6","69","1")</f>
        <v>#NAME?</v>
      </c>
      <c r="F42" s="34" t="e">
        <f ca="1">[2]!BexGetData("DP_1","00O2TNJGODT0K3USBW3W1A868","6","69","1")</f>
        <v>#NAME?</v>
      </c>
      <c r="G42" s="34" t="e">
        <f ca="1">[2]!BexGetData("DP_1","00O2TNJGODT0K3USBW3W1AKTC","6","69","1")</f>
        <v>#NAME?</v>
      </c>
      <c r="H42" s="34" t="e">
        <f ca="1">[2]!BexGetData("DP_1","00O2TNJGODT0K3USBW3W1AR4W","6","69","1")</f>
        <v>#NAME?</v>
      </c>
      <c r="I42" s="36" t="e">
        <f ca="1">[2]!BexGetData("DP_1","00O2TNJGODT0K3USBW3W1B3S0","6","69","1")</f>
        <v>#NAME?</v>
      </c>
      <c r="J42" s="34" t="e">
        <f ca="1">[2]!BexGetData("DP_1","00O2TNJGODT0K3USBW3W1BA3K","6","69","1")</f>
        <v>#NAME?</v>
      </c>
    </row>
    <row r="43" spans="1:10" x14ac:dyDescent="0.25">
      <c r="A43" s="33" t="s">
        <v>48</v>
      </c>
      <c r="B43" s="33" t="s">
        <v>48</v>
      </c>
      <c r="C43" s="37" t="s">
        <v>49</v>
      </c>
      <c r="D43" s="38" t="e">
        <f ca="1">[2]!BexGetData("DP_1","00O2TNJGODT0K3USBW3W18AN4","6","69","SUMME")</f>
        <v>#NAME?</v>
      </c>
      <c r="E43" s="39" t="e">
        <f ca="1">[2]!BexGetData("DP_1","00O2TNJGODT0K3USBW3W1A1UO","6","69","SUMME")</f>
        <v>#NAME?</v>
      </c>
      <c r="F43" s="38" t="e">
        <f ca="1">[2]!BexGetData("DP_1","00O2TNJGODT0K3USBW3W1A868","6","69","SUMME")</f>
        <v>#NAME?</v>
      </c>
      <c r="G43" s="38" t="e">
        <f ca="1">[2]!BexGetData("DP_1","00O2TNJGODT0K3USBW3W1AKTC","6","69","SUMME")</f>
        <v>#NAME?</v>
      </c>
      <c r="H43" s="38" t="e">
        <f ca="1">[2]!BexGetData("DP_1","00O2TNJGODT0K3USBW3W1AR4W","6","69","SUMME")</f>
        <v>#NAME?</v>
      </c>
      <c r="I43" s="40" t="e">
        <f ca="1">[2]!BexGetData("DP_1","00O2TNJGODT0K3USBW3W1B3S0","6","69","SUMME")</f>
        <v>#NAME?</v>
      </c>
      <c r="J43" s="38" t="e">
        <f ca="1">[2]!BexGetData("DP_1","00O2TNJGODT0K3USBW3W1BA3K","6","69","SUMME")</f>
        <v>#NAME?</v>
      </c>
    </row>
    <row r="44" spans="1:10" x14ac:dyDescent="0.25">
      <c r="A44" s="33" t="s">
        <v>48</v>
      </c>
      <c r="B44" s="37" t="s">
        <v>49</v>
      </c>
      <c r="C44" s="37" t="s">
        <v>48</v>
      </c>
      <c r="D44" s="38" t="e">
        <f ca="1">[2]!BexGetData("DP_1","00O2TNJGODT0K3USBW3W18AN4","6","SUMME","SUMME")</f>
        <v>#NAME?</v>
      </c>
      <c r="E44" s="39" t="e">
        <f ca="1">[2]!BexGetData("DP_1","00O2TNJGODT0K3USBW3W1A1UO","6","SUMME","SUMME")</f>
        <v>#NAME?</v>
      </c>
      <c r="F44" s="38" t="e">
        <f ca="1">[2]!BexGetData("DP_1","00O2TNJGODT0K3USBW3W1A868","6","SUMME","SUMME")</f>
        <v>#NAME?</v>
      </c>
      <c r="G44" s="38" t="e">
        <f ca="1">[2]!BexGetData("DP_1","00O2TNJGODT0K3USBW3W1AKTC","6","SUMME","SUMME")</f>
        <v>#NAME?</v>
      </c>
      <c r="H44" s="38" t="e">
        <f ca="1">[2]!BexGetData("DP_1","00O2TNJGODT0K3USBW3W1AR4W","6","SUMME","SUMME")</f>
        <v>#NAME?</v>
      </c>
      <c r="I44" s="40" t="e">
        <f ca="1">[2]!BexGetData("DP_1","00O2TNJGODT0K3USBW3W1B3S0","6","SUMME","SUMME")</f>
        <v>#NAME?</v>
      </c>
      <c r="J44" s="38" t="e">
        <f ca="1">[2]!BexGetData("DP_1","00O2TNJGODT0K3USBW3W1BA3K","6","SUMME","SUMME")</f>
        <v>#NAME?</v>
      </c>
    </row>
    <row r="45" spans="1:10" x14ac:dyDescent="0.25">
      <c r="A45" s="33" t="s">
        <v>52</v>
      </c>
      <c r="B45" s="33" t="s">
        <v>50</v>
      </c>
      <c r="C45" s="33" t="s">
        <v>46</v>
      </c>
      <c r="D45" s="34" t="e">
        <f ca="1">[2]!BexGetData("DP_1","00O2TNJGODT0K3USBW3W18AN4","7","73","1")</f>
        <v>#NAME?</v>
      </c>
      <c r="E45" s="35" t="e">
        <f ca="1">[2]!BexGetData("DP_1","00O2TNJGODT0K3USBW3W1A1UO","7","73","1")</f>
        <v>#NAME?</v>
      </c>
      <c r="F45" s="34" t="e">
        <f ca="1">[2]!BexGetData("DP_1","00O2TNJGODT0K3USBW3W1A868","7","73","1")</f>
        <v>#NAME?</v>
      </c>
      <c r="G45" s="34" t="e">
        <f ca="1">[2]!BexGetData("DP_1","00O2TNJGODT0K3USBW3W1AKTC","7","73","1")</f>
        <v>#NAME?</v>
      </c>
      <c r="H45" s="34" t="e">
        <f ca="1">[2]!BexGetData("DP_1","00O2TNJGODT0K3USBW3W1AR4W","7","73","1")</f>
        <v>#NAME?</v>
      </c>
      <c r="I45" s="36" t="e">
        <f ca="1">[2]!BexGetData("DP_1","00O2TNJGODT0K3USBW3W1B3S0","7","73","1")</f>
        <v>#NAME?</v>
      </c>
      <c r="J45" s="34" t="e">
        <f ca="1">[2]!BexGetData("DP_1","00O2TNJGODT0K3USBW3W1BA3K","7","73","1")</f>
        <v>#NAME?</v>
      </c>
    </row>
    <row r="46" spans="1:10" x14ac:dyDescent="0.25">
      <c r="A46" s="33" t="s">
        <v>48</v>
      </c>
      <c r="B46" s="33" t="s">
        <v>48</v>
      </c>
      <c r="C46" s="37" t="s">
        <v>49</v>
      </c>
      <c r="D46" s="38" t="e">
        <f ca="1">[2]!BexGetData("DP_1","00O2TNJGODT0K3USBW3W18AN4","7","73","SUMME")</f>
        <v>#NAME?</v>
      </c>
      <c r="E46" s="39" t="e">
        <f ca="1">[2]!BexGetData("DP_1","00O2TNJGODT0K3USBW3W1A1UO","7","73","SUMME")</f>
        <v>#NAME?</v>
      </c>
      <c r="F46" s="38" t="e">
        <f ca="1">[2]!BexGetData("DP_1","00O2TNJGODT0K3USBW3W1A868","7","73","SUMME")</f>
        <v>#NAME?</v>
      </c>
      <c r="G46" s="38" t="e">
        <f ca="1">[2]!BexGetData("DP_1","00O2TNJGODT0K3USBW3W1AKTC","7","73","SUMME")</f>
        <v>#NAME?</v>
      </c>
      <c r="H46" s="38" t="e">
        <f ca="1">[2]!BexGetData("DP_1","00O2TNJGODT0K3USBW3W1AR4W","7","73","SUMME")</f>
        <v>#NAME?</v>
      </c>
      <c r="I46" s="40" t="e">
        <f ca="1">[2]!BexGetData("DP_1","00O2TNJGODT0K3USBW3W1B3S0","7","73","SUMME")</f>
        <v>#NAME?</v>
      </c>
      <c r="J46" s="38" t="e">
        <f ca="1">[2]!BexGetData("DP_1","00O2TNJGODT0K3USBW3W1BA3K","7","73","SUMME")</f>
        <v>#NAME?</v>
      </c>
    </row>
    <row r="47" spans="1:10" x14ac:dyDescent="0.25">
      <c r="A47" s="33" t="s">
        <v>48</v>
      </c>
      <c r="B47" s="37" t="s">
        <v>49</v>
      </c>
      <c r="C47" s="37" t="s">
        <v>48</v>
      </c>
      <c r="D47" s="38" t="e">
        <f ca="1">[2]!BexGetData("DP_1","00O2TNJGODT0K3USBW3W18AN4","7","SUMME","SUMME")</f>
        <v>#NAME?</v>
      </c>
      <c r="E47" s="39" t="e">
        <f ca="1">[2]!BexGetData("DP_1","00O2TNJGODT0K3USBW3W1A1UO","7","SUMME","SUMME")</f>
        <v>#NAME?</v>
      </c>
      <c r="F47" s="38" t="e">
        <f ca="1">[2]!BexGetData("DP_1","00O2TNJGODT0K3USBW3W1A868","7","SUMME","SUMME")</f>
        <v>#NAME?</v>
      </c>
      <c r="G47" s="38" t="e">
        <f ca="1">[2]!BexGetData("DP_1","00O2TNJGODT0K3USBW3W1AKTC","7","SUMME","SUMME")</f>
        <v>#NAME?</v>
      </c>
      <c r="H47" s="38" t="e">
        <f ca="1">[2]!BexGetData("DP_1","00O2TNJGODT0K3USBW3W1AR4W","7","SUMME","SUMME")</f>
        <v>#NAME?</v>
      </c>
      <c r="I47" s="40" t="e">
        <f ca="1">[2]!BexGetData("DP_1","00O2TNJGODT0K3USBW3W1B3S0","7","SUMME","SUMME")</f>
        <v>#NAME?</v>
      </c>
      <c r="J47" s="38" t="e">
        <f ca="1">[2]!BexGetData("DP_1","00O2TNJGODT0K3USBW3W1BA3K","7","SUMME","SUMME")</f>
        <v>#NAME?</v>
      </c>
    </row>
    <row r="48" spans="1:10" x14ac:dyDescent="0.25">
      <c r="A48" s="33" t="s">
        <v>53</v>
      </c>
      <c r="B48" s="33" t="s">
        <v>46</v>
      </c>
      <c r="C48" s="33" t="s">
        <v>46</v>
      </c>
      <c r="D48" s="34" t="e">
        <f ca="1">[2]!BexGetData("DP_1","00O2TNJGODT0K3USBW3W18AN4","8","81","1")</f>
        <v>#NAME?</v>
      </c>
      <c r="E48" s="35" t="e">
        <f ca="1">[2]!BexGetData("DP_1","00O2TNJGODT0K3USBW3W1A1UO","8","81","1")</f>
        <v>#NAME?</v>
      </c>
      <c r="F48" s="34" t="e">
        <f ca="1">[2]!BexGetData("DP_1","00O2TNJGODT0K3USBW3W1A868","8","81","1")</f>
        <v>#NAME?</v>
      </c>
      <c r="G48" s="34" t="e">
        <f ca="1">[2]!BexGetData("DP_1","00O2TNJGODT0K3USBW3W1AKTC","8","81","1")</f>
        <v>#NAME?</v>
      </c>
      <c r="H48" s="34" t="e">
        <f ca="1">[2]!BexGetData("DP_1","00O2TNJGODT0K3USBW3W1AR4W","8","81","1")</f>
        <v>#NAME?</v>
      </c>
      <c r="I48" s="36" t="e">
        <f ca="1">[2]!BexGetData("DP_1","00O2TNJGODT0K3USBW3W1B3S0","8","81","1")</f>
        <v>#NAME?</v>
      </c>
      <c r="J48" s="34" t="e">
        <f ca="1">[2]!BexGetData("DP_1","00O2TNJGODT0K3USBW3W1BA3K","8","81","1")</f>
        <v>#NAME?</v>
      </c>
    </row>
    <row r="49" spans="1:10" x14ac:dyDescent="0.25">
      <c r="A49" s="33" t="s">
        <v>48</v>
      </c>
      <c r="B49" s="33" t="s">
        <v>48</v>
      </c>
      <c r="C49" s="33" t="s">
        <v>47</v>
      </c>
      <c r="D49" s="34" t="e">
        <f ca="1">[2]!BexGetData("DP_1","00O2TNJGODT0K3USBW3W18AN4","8","81","2")</f>
        <v>#NAME?</v>
      </c>
      <c r="E49" s="35" t="e">
        <f ca="1">[2]!BexGetData("DP_1","00O2TNJGODT0K3USBW3W1A1UO","8","81","2")</f>
        <v>#NAME?</v>
      </c>
      <c r="F49" s="34" t="e">
        <f ca="1">[2]!BexGetData("DP_1","00O2TNJGODT0K3USBW3W1A868","8","81","2")</f>
        <v>#NAME?</v>
      </c>
      <c r="G49" s="34" t="e">
        <f ca="1">[2]!BexGetData("DP_1","00O2TNJGODT0K3USBW3W1AKTC","8","81","2")</f>
        <v>#NAME?</v>
      </c>
      <c r="H49" s="34" t="e">
        <f ca="1">[2]!BexGetData("DP_1","00O2TNJGODT0K3USBW3W1AR4W","8","81","2")</f>
        <v>#NAME?</v>
      </c>
      <c r="I49" s="36" t="e">
        <f ca="1">[2]!BexGetData("DP_1","00O2TNJGODT0K3USBW3W1B3S0","8","81","2")</f>
        <v>#NAME?</v>
      </c>
      <c r="J49" s="34" t="e">
        <f ca="1">[2]!BexGetData("DP_1","00O2TNJGODT0K3USBW3W1BA3K","8","81","2")</f>
        <v>#NAME?</v>
      </c>
    </row>
    <row r="50" spans="1:10" x14ac:dyDescent="0.25">
      <c r="A50" s="33" t="s">
        <v>48</v>
      </c>
      <c r="B50" s="33" t="s">
        <v>48</v>
      </c>
      <c r="C50" s="33" t="s">
        <v>51</v>
      </c>
      <c r="D50" s="34" t="e">
        <f ca="1">[2]!BexGetData("DP_1","00O2TNJGODT0K3USBW3W18AN4","8","81","5")</f>
        <v>#NAME?</v>
      </c>
      <c r="E50" s="35" t="e">
        <f ca="1">[2]!BexGetData("DP_1","00O2TNJGODT0K3USBW3W1A1UO","8","81","5")</f>
        <v>#NAME?</v>
      </c>
      <c r="F50" s="34" t="e">
        <f ca="1">[2]!BexGetData("DP_1","00O2TNJGODT0K3USBW3W1A868","8","81","5")</f>
        <v>#NAME?</v>
      </c>
      <c r="G50" s="34" t="e">
        <f ca="1">[2]!BexGetData("DP_1","00O2TNJGODT0K3USBW3W1AKTC","8","81","5")</f>
        <v>#NAME?</v>
      </c>
      <c r="H50" s="34" t="e">
        <f ca="1">[2]!BexGetData("DP_1","00O2TNJGODT0K3USBW3W1AR4W","8","81","5")</f>
        <v>#NAME?</v>
      </c>
      <c r="I50" s="36" t="e">
        <f ca="1">[2]!BexGetData("DP_1","00O2TNJGODT0K3USBW3W1B3S0","8","81","5")</f>
        <v>#NAME?</v>
      </c>
      <c r="J50" s="34" t="e">
        <f ca="1">[2]!BexGetData("DP_1","00O2TNJGODT0K3USBW3W1BA3K","8","81","5")</f>
        <v>#NAME?</v>
      </c>
    </row>
    <row r="51" spans="1:10" x14ac:dyDescent="0.25">
      <c r="A51" s="33" t="s">
        <v>48</v>
      </c>
      <c r="B51" s="33" t="s">
        <v>48</v>
      </c>
      <c r="C51" s="33" t="s">
        <v>56</v>
      </c>
      <c r="D51" s="34" t="e">
        <f ca="1">[2]!BexGetData("DP_1","00O2TNJGODT0K3USBW3W18AN4","8","81","6")</f>
        <v>#NAME?</v>
      </c>
      <c r="E51" s="35" t="e">
        <f ca="1">[2]!BexGetData("DP_1","00O2TNJGODT0K3USBW3W1A1UO","8","81","6")</f>
        <v>#NAME?</v>
      </c>
      <c r="F51" s="34" t="e">
        <f ca="1">[2]!BexGetData("DP_1","00O2TNJGODT0K3USBW3W1A868","8","81","6")</f>
        <v>#NAME?</v>
      </c>
      <c r="G51" s="34" t="e">
        <f ca="1">[2]!BexGetData("DP_1","00O2TNJGODT0K3USBW3W1AKTC","8","81","6")</f>
        <v>#NAME?</v>
      </c>
      <c r="H51" s="34" t="e">
        <f ca="1">[2]!BexGetData("DP_1","00O2TNJGODT0K3USBW3W1AR4W","8","81","6")</f>
        <v>#NAME?</v>
      </c>
      <c r="I51" s="36" t="e">
        <f ca="1">[2]!BexGetData("DP_1","00O2TNJGODT0K3USBW3W1B3S0","8","81","6")</f>
        <v>#NAME?</v>
      </c>
      <c r="J51" s="34" t="e">
        <f ca="1">[2]!BexGetData("DP_1","00O2TNJGODT0K3USBW3W1BA3K","8","81","6")</f>
        <v>#NAME?</v>
      </c>
    </row>
    <row r="52" spans="1:10" x14ac:dyDescent="0.25">
      <c r="A52" s="33" t="s">
        <v>48</v>
      </c>
      <c r="B52" s="33" t="s">
        <v>48</v>
      </c>
      <c r="C52" s="37" t="s">
        <v>49</v>
      </c>
      <c r="D52" s="38" t="e">
        <f ca="1">[2]!BexGetData("DP_1","00O2TNJGODT0K3USBW3W18AN4","8","81","SUMME")</f>
        <v>#NAME?</v>
      </c>
      <c r="E52" s="39" t="e">
        <f ca="1">[2]!BexGetData("DP_1","00O2TNJGODT0K3USBW3W1A1UO","8","81","SUMME")</f>
        <v>#NAME?</v>
      </c>
      <c r="F52" s="38" t="e">
        <f ca="1">[2]!BexGetData("DP_1","00O2TNJGODT0K3USBW3W1A868","8","81","SUMME")</f>
        <v>#NAME?</v>
      </c>
      <c r="G52" s="38" t="e">
        <f ca="1">[2]!BexGetData("DP_1","00O2TNJGODT0K3USBW3W1AKTC","8","81","SUMME")</f>
        <v>#NAME?</v>
      </c>
      <c r="H52" s="38" t="e">
        <f ca="1">[2]!BexGetData("DP_1","00O2TNJGODT0K3USBW3W1AR4W","8","81","SUMME")</f>
        <v>#NAME?</v>
      </c>
      <c r="I52" s="40" t="e">
        <f ca="1">[2]!BexGetData("DP_1","00O2TNJGODT0K3USBW3W1B3S0","8","81","SUMME")</f>
        <v>#NAME?</v>
      </c>
      <c r="J52" s="38" t="e">
        <f ca="1">[2]!BexGetData("DP_1","00O2TNJGODT0K3USBW3W1BA3K","8","81","SUMME")</f>
        <v>#NAME?</v>
      </c>
    </row>
    <row r="53" spans="1:10" x14ac:dyDescent="0.25">
      <c r="A53" s="33" t="s">
        <v>48</v>
      </c>
      <c r="B53" s="33" t="s">
        <v>47</v>
      </c>
      <c r="C53" s="33" t="s">
        <v>47</v>
      </c>
      <c r="D53" s="34" t="e">
        <f ca="1">[2]!BexGetData("DP_1","00O2TNJGODT0K3USBW3W18AN4","8","82","2")</f>
        <v>#NAME?</v>
      </c>
      <c r="E53" s="35" t="e">
        <f ca="1">[2]!BexGetData("DP_1","00O2TNJGODT0K3USBW3W1A1UO","8","82","2")</f>
        <v>#NAME?</v>
      </c>
      <c r="F53" s="34" t="e">
        <f ca="1">[2]!BexGetData("DP_1","00O2TNJGODT0K3USBW3W1A868","8","82","2")</f>
        <v>#NAME?</v>
      </c>
      <c r="G53" s="34" t="e">
        <f ca="1">[2]!BexGetData("DP_1","00O2TNJGODT0K3USBW3W1AKTC","8","82","2")</f>
        <v>#NAME?</v>
      </c>
      <c r="H53" s="34" t="e">
        <f ca="1">[2]!BexGetData("DP_1","00O2TNJGODT0K3USBW3W1AR4W","8","82","2")</f>
        <v>#NAME?</v>
      </c>
      <c r="I53" s="36" t="e">
        <f ca="1">[2]!BexGetData("DP_1","00O2TNJGODT0K3USBW3W1B3S0","8","82","2")</f>
        <v>#NAME?</v>
      </c>
      <c r="J53" s="34" t="e">
        <f ca="1">[2]!BexGetData("DP_1","00O2TNJGODT0K3USBW3W1BA3K","8","82","2")</f>
        <v>#NAME?</v>
      </c>
    </row>
    <row r="54" spans="1:10" x14ac:dyDescent="0.25">
      <c r="A54" s="33" t="s">
        <v>48</v>
      </c>
      <c r="B54" s="33" t="s">
        <v>48</v>
      </c>
      <c r="C54" s="33" t="s">
        <v>51</v>
      </c>
      <c r="D54" s="34" t="e">
        <f ca="1">[2]!BexGetData("DP_1","00O2TNJGODT0K3USBW3W18AN4","8","82","5")</f>
        <v>#NAME?</v>
      </c>
      <c r="E54" s="35" t="e">
        <f ca="1">[2]!BexGetData("DP_1","00O2TNJGODT0K3USBW3W1A1UO","8","82","5")</f>
        <v>#NAME?</v>
      </c>
      <c r="F54" s="34" t="e">
        <f ca="1">[2]!BexGetData("DP_1","00O2TNJGODT0K3USBW3W1A868","8","82","5")</f>
        <v>#NAME?</v>
      </c>
      <c r="G54" s="34" t="e">
        <f ca="1">[2]!BexGetData("DP_1","00O2TNJGODT0K3USBW3W1AKTC","8","82","5")</f>
        <v>#NAME?</v>
      </c>
      <c r="H54" s="34" t="e">
        <f ca="1">[2]!BexGetData("DP_1","00O2TNJGODT0K3USBW3W1AR4W","8","82","5")</f>
        <v>#NAME?</v>
      </c>
      <c r="I54" s="36" t="e">
        <f ca="1">[2]!BexGetData("DP_1","00O2TNJGODT0K3USBW3W1B3S0","8","82","5")</f>
        <v>#NAME?</v>
      </c>
      <c r="J54" s="34" t="e">
        <f ca="1">[2]!BexGetData("DP_1","00O2TNJGODT0K3USBW3W1BA3K","8","82","5")</f>
        <v>#NAME?</v>
      </c>
    </row>
    <row r="55" spans="1:10" x14ac:dyDescent="0.25">
      <c r="A55" s="33" t="s">
        <v>48</v>
      </c>
      <c r="B55" s="33" t="s">
        <v>48</v>
      </c>
      <c r="C55" s="37" t="s">
        <v>49</v>
      </c>
      <c r="D55" s="38" t="e">
        <f ca="1">[2]!BexGetData("DP_1","00O2TNJGODT0K3USBW3W18AN4","8","82","SUMME")</f>
        <v>#NAME?</v>
      </c>
      <c r="E55" s="39" t="e">
        <f ca="1">[2]!BexGetData("DP_1","00O2TNJGODT0K3USBW3W1A1UO","8","82","SUMME")</f>
        <v>#NAME?</v>
      </c>
      <c r="F55" s="38" t="e">
        <f ca="1">[2]!BexGetData("DP_1","00O2TNJGODT0K3USBW3W1A868","8","82","SUMME")</f>
        <v>#NAME?</v>
      </c>
      <c r="G55" s="38" t="e">
        <f ca="1">[2]!BexGetData("DP_1","00O2TNJGODT0K3USBW3W1AKTC","8","82","SUMME")</f>
        <v>#NAME?</v>
      </c>
      <c r="H55" s="38" t="e">
        <f ca="1">[2]!BexGetData("DP_1","00O2TNJGODT0K3USBW3W1AR4W","8","82","SUMME")</f>
        <v>#NAME?</v>
      </c>
      <c r="I55" s="40" t="e">
        <f ca="1">[2]!BexGetData("DP_1","00O2TNJGODT0K3USBW3W1B3S0","8","82","SUMME")</f>
        <v>#NAME?</v>
      </c>
      <c r="J55" s="38" t="e">
        <f ca="1">[2]!BexGetData("DP_1","00O2TNJGODT0K3USBW3W1BA3K","8","82","SUMME")</f>
        <v>#NAME?</v>
      </c>
    </row>
    <row r="56" spans="1:10" x14ac:dyDescent="0.25">
      <c r="A56" s="33" t="s">
        <v>48</v>
      </c>
      <c r="B56" s="33" t="s">
        <v>50</v>
      </c>
      <c r="C56" s="33" t="s">
        <v>46</v>
      </c>
      <c r="D56" s="41" t="e">
        <f ca="1">[2]!BexGetData("DP_1","00O2TNJGODT0K3USBW3W18AN4","8","83","1")</f>
        <v>#NAME?</v>
      </c>
      <c r="E56" s="34" t="e">
        <f ca="1">[2]!BexGetData("DP_1","00O2TNJGODT0K3USBW3W1A1UO","8","83","1")</f>
        <v>#NAME?</v>
      </c>
      <c r="F56" s="34" t="e">
        <f ca="1">[2]!BexGetData("DP_1","00O2TNJGODT0K3USBW3W1A868","8","83","1")</f>
        <v>#NAME?</v>
      </c>
      <c r="G56" s="34" t="e">
        <f ca="1">[2]!BexGetData("DP_1","00O2TNJGODT0K3USBW3W1AKTC","8","83","1")</f>
        <v>#NAME?</v>
      </c>
      <c r="H56" s="34" t="e">
        <f ca="1">[2]!BexGetData("DP_1","00O2TNJGODT0K3USBW3W1AR4W","8","83","1")</f>
        <v>#NAME?</v>
      </c>
      <c r="I56" s="42" t="e">
        <f ca="1">[2]!BexGetData("DP_1","00O2TNJGODT0K3USBW3W1B3S0","8","83","1")</f>
        <v>#NAME?</v>
      </c>
      <c r="J56" s="34" t="e">
        <f ca="1">[2]!BexGetData("DP_1","00O2TNJGODT0K3USBW3W1BA3K","8","83","1")</f>
        <v>#NAME?</v>
      </c>
    </row>
    <row r="57" spans="1:10" x14ac:dyDescent="0.25">
      <c r="A57" s="33" t="s">
        <v>48</v>
      </c>
      <c r="B57" s="33" t="s">
        <v>48</v>
      </c>
      <c r="C57" s="33" t="s">
        <v>55</v>
      </c>
      <c r="D57" s="41" t="e">
        <f ca="1">[2]!BexGetData("DP_1","00O2TNJGODT0K3USBW3W18AN4","8","83","4")</f>
        <v>#NAME?</v>
      </c>
      <c r="E57" s="34" t="e">
        <f ca="1">[2]!BexGetData("DP_1","00O2TNJGODT0K3USBW3W1A1UO","8","83","4")</f>
        <v>#NAME?</v>
      </c>
      <c r="F57" s="34" t="e">
        <f ca="1">[2]!BexGetData("DP_1","00O2TNJGODT0K3USBW3W1A868","8","83","4")</f>
        <v>#NAME?</v>
      </c>
      <c r="G57" s="34" t="e">
        <f ca="1">[2]!BexGetData("DP_1","00O2TNJGODT0K3USBW3W1AKTC","8","83","4")</f>
        <v>#NAME?</v>
      </c>
      <c r="H57" s="34" t="e">
        <f ca="1">[2]!BexGetData("DP_1","00O2TNJGODT0K3USBW3W1AR4W","8","83","4")</f>
        <v>#NAME?</v>
      </c>
      <c r="I57" s="42" t="e">
        <f ca="1">[2]!BexGetData("DP_1","00O2TNJGODT0K3USBW3W1B3S0","8","83","4")</f>
        <v>#NAME?</v>
      </c>
      <c r="J57" s="34" t="e">
        <f ca="1">[2]!BexGetData("DP_1","00O2TNJGODT0K3USBW3W1BA3K","8","83","4")</f>
        <v>#NAME?</v>
      </c>
    </row>
    <row r="58" spans="1:10" x14ac:dyDescent="0.25">
      <c r="A58" s="33" t="s">
        <v>48</v>
      </c>
      <c r="B58" s="33" t="s">
        <v>48</v>
      </c>
      <c r="C58" s="33" t="s">
        <v>51</v>
      </c>
      <c r="D58" s="34" t="e">
        <f ca="1">[2]!BexGetData("DP_1","00O2TNJGODT0K3USBW3W18AN4","8","83","5")</f>
        <v>#NAME?</v>
      </c>
      <c r="E58" s="34" t="e">
        <f ca="1">[2]!BexGetData("DP_1","00O2TNJGODT0K3USBW3W1A1UO","8","83","5")</f>
        <v>#NAME?</v>
      </c>
      <c r="F58" s="34" t="e">
        <f ca="1">[2]!BexGetData("DP_1","00O2TNJGODT0K3USBW3W1A868","8","83","5")</f>
        <v>#NAME?</v>
      </c>
      <c r="G58" s="34" t="e">
        <f ca="1">[2]!BexGetData("DP_1","00O2TNJGODT0K3USBW3W1AKTC","8","83","5")</f>
        <v>#NAME?</v>
      </c>
      <c r="H58" s="34" t="e">
        <f ca="1">[2]!BexGetData("DP_1","00O2TNJGODT0K3USBW3W1AR4W","8","83","5")</f>
        <v>#NAME?</v>
      </c>
      <c r="I58" s="36" t="e">
        <f ca="1">[2]!BexGetData("DP_1","00O2TNJGODT0K3USBW3W1B3S0","8","83","5")</f>
        <v>#NAME?</v>
      </c>
      <c r="J58" s="34" t="e">
        <f ca="1">[2]!BexGetData("DP_1","00O2TNJGODT0K3USBW3W1BA3K","8","83","5")</f>
        <v>#NAME?</v>
      </c>
    </row>
    <row r="59" spans="1:10" x14ac:dyDescent="0.25">
      <c r="A59" s="33" t="s">
        <v>48</v>
      </c>
      <c r="B59" s="33" t="s">
        <v>48</v>
      </c>
      <c r="C59" s="37" t="s">
        <v>49</v>
      </c>
      <c r="D59" s="38" t="e">
        <f ca="1">[2]!BexGetData("DP_1","00O2TNJGODT0K3USBW3W18AN4","8","83","SUMME")</f>
        <v>#NAME?</v>
      </c>
      <c r="E59" s="38" t="e">
        <f ca="1">[2]!BexGetData("DP_1","00O2TNJGODT0K3USBW3W1A1UO","8","83","SUMME")</f>
        <v>#NAME?</v>
      </c>
      <c r="F59" s="38" t="e">
        <f ca="1">[2]!BexGetData("DP_1","00O2TNJGODT0K3USBW3W1A868","8","83","SUMME")</f>
        <v>#NAME?</v>
      </c>
      <c r="G59" s="38" t="e">
        <f ca="1">[2]!BexGetData("DP_1","00O2TNJGODT0K3USBW3W1AKTC","8","83","SUMME")</f>
        <v>#NAME?</v>
      </c>
      <c r="H59" s="38" t="e">
        <f ca="1">[2]!BexGetData("DP_1","00O2TNJGODT0K3USBW3W1AR4W","8","83","SUMME")</f>
        <v>#NAME?</v>
      </c>
      <c r="I59" s="40" t="e">
        <f ca="1">[2]!BexGetData("DP_1","00O2TNJGODT0K3USBW3W1B3S0","8","83","SUMME")</f>
        <v>#NAME?</v>
      </c>
      <c r="J59" s="38" t="e">
        <f ca="1">[2]!BexGetData("DP_1","00O2TNJGODT0K3USBW3W1BA3K","8","83","SUMME")</f>
        <v>#NAME?</v>
      </c>
    </row>
    <row r="60" spans="1:10" x14ac:dyDescent="0.25">
      <c r="A60" s="33" t="s">
        <v>48</v>
      </c>
      <c r="B60" s="37" t="s">
        <v>49</v>
      </c>
      <c r="C60" s="37" t="s">
        <v>48</v>
      </c>
      <c r="D60" s="38" t="e">
        <f ca="1">[2]!BexGetData("DP_1","00O2TNJGODT0K3USBW3W18AN4","8","SUMME","SUMME")</f>
        <v>#NAME?</v>
      </c>
      <c r="E60" s="38" t="e">
        <f ca="1">[2]!BexGetData("DP_1","00O2TNJGODT0K3USBW3W1A1UO","8","SUMME","SUMME")</f>
        <v>#NAME?</v>
      </c>
      <c r="F60" s="38" t="e">
        <f ca="1">[2]!BexGetData("DP_1","00O2TNJGODT0K3USBW3W1A868","8","SUMME","SUMME")</f>
        <v>#NAME?</v>
      </c>
      <c r="G60" s="38" t="e">
        <f ca="1">[2]!BexGetData("DP_1","00O2TNJGODT0K3USBW3W1AKTC","8","SUMME","SUMME")</f>
        <v>#NAME?</v>
      </c>
      <c r="H60" s="38" t="e">
        <f ca="1">[2]!BexGetData("DP_1","00O2TNJGODT0K3USBW3W1AR4W","8","SUMME","SUMME")</f>
        <v>#NAME?</v>
      </c>
      <c r="I60" s="40" t="e">
        <f ca="1">[2]!BexGetData("DP_1","00O2TNJGODT0K3USBW3W1B3S0","8","SUMME","SUMME")</f>
        <v>#NAME?</v>
      </c>
      <c r="J60" s="38" t="e">
        <f ca="1">[2]!BexGetData("DP_1","00O2TNJGODT0K3USBW3W1BA3K","8","SUMME","SUMME")</f>
        <v>#NAME?</v>
      </c>
    </row>
    <row r="61" spans="1:10" x14ac:dyDescent="0.25">
      <c r="A61" s="33" t="s">
        <v>54</v>
      </c>
      <c r="B61" s="33" t="s">
        <v>46</v>
      </c>
      <c r="C61" s="33" t="s">
        <v>55</v>
      </c>
      <c r="D61" s="34" t="e">
        <f ca="1">[2]!BexGetData("DP_1","00O2TNJGODT0K3USBW3W18AN4","9","91","4")</f>
        <v>#NAME?</v>
      </c>
      <c r="E61" s="35" t="e">
        <f ca="1">[2]!BexGetData("DP_1","00O2TNJGODT0K3USBW3W1A1UO","9","91","4")</f>
        <v>#NAME?</v>
      </c>
      <c r="F61" s="34" t="e">
        <f ca="1">[2]!BexGetData("DP_1","00O2TNJGODT0K3USBW3W1A868","9","91","4")</f>
        <v>#NAME?</v>
      </c>
      <c r="G61" s="34" t="e">
        <f ca="1">[2]!BexGetData("DP_1","00O2TNJGODT0K3USBW3W1AKTC","9","91","4")</f>
        <v>#NAME?</v>
      </c>
      <c r="H61" s="34" t="e">
        <f ca="1">[2]!BexGetData("DP_1","00O2TNJGODT0K3USBW3W1AR4W","9","91","4")</f>
        <v>#NAME?</v>
      </c>
      <c r="I61" s="36" t="e">
        <f ca="1">[2]!BexGetData("DP_1","00O2TNJGODT0K3USBW3W1B3S0","9","91","4")</f>
        <v>#NAME?</v>
      </c>
      <c r="J61" s="34" t="e">
        <f ca="1">[2]!BexGetData("DP_1","00O2TNJGODT0K3USBW3W1BA3K","9","91","4")</f>
        <v>#NAME?</v>
      </c>
    </row>
    <row r="62" spans="1:10" x14ac:dyDescent="0.25">
      <c r="A62" s="33" t="s">
        <v>48</v>
      </c>
      <c r="B62" s="33" t="s">
        <v>48</v>
      </c>
      <c r="C62" s="37" t="s">
        <v>49</v>
      </c>
      <c r="D62" s="38" t="e">
        <f ca="1">[2]!BexGetData("DP_1","00O2TNJGODT0K3USBW3W18AN4","9","91","SUMME")</f>
        <v>#NAME?</v>
      </c>
      <c r="E62" s="39" t="e">
        <f ca="1">[2]!BexGetData("DP_1","00O2TNJGODT0K3USBW3W1A1UO","9","91","SUMME")</f>
        <v>#NAME?</v>
      </c>
      <c r="F62" s="38" t="e">
        <f ca="1">[2]!BexGetData("DP_1","00O2TNJGODT0K3USBW3W1A868","9","91","SUMME")</f>
        <v>#NAME?</v>
      </c>
      <c r="G62" s="38" t="e">
        <f ca="1">[2]!BexGetData("DP_1","00O2TNJGODT0K3USBW3W1AKTC","9","91","SUMME")</f>
        <v>#NAME?</v>
      </c>
      <c r="H62" s="38" t="e">
        <f ca="1">[2]!BexGetData("DP_1","00O2TNJGODT0K3USBW3W1AR4W","9","91","SUMME")</f>
        <v>#NAME?</v>
      </c>
      <c r="I62" s="40" t="e">
        <f ca="1">[2]!BexGetData("DP_1","00O2TNJGODT0K3USBW3W1B3S0","9","91","SUMME")</f>
        <v>#NAME?</v>
      </c>
      <c r="J62" s="38" t="e">
        <f ca="1">[2]!BexGetData("DP_1","00O2TNJGODT0K3USBW3W1BA3K","9","91","SUMME")</f>
        <v>#NAME?</v>
      </c>
    </row>
    <row r="63" spans="1:10" x14ac:dyDescent="0.25">
      <c r="A63" s="33" t="s">
        <v>48</v>
      </c>
      <c r="B63" s="33" t="s">
        <v>50</v>
      </c>
      <c r="C63" s="33" t="s">
        <v>46</v>
      </c>
      <c r="D63" s="34" t="e">
        <f ca="1">[2]!BexGetData("DP_1","00O2TNJGODT0K3USBW3W18AN4","9","93","1")</f>
        <v>#NAME?</v>
      </c>
      <c r="E63" s="35" t="e">
        <f ca="1">[2]!BexGetData("DP_1","00O2TNJGODT0K3USBW3W1A1UO","9","93","1")</f>
        <v>#NAME?</v>
      </c>
      <c r="F63" s="34" t="e">
        <f ca="1">[2]!BexGetData("DP_1","00O2TNJGODT0K3USBW3W1A868","9","93","1")</f>
        <v>#NAME?</v>
      </c>
      <c r="G63" s="34" t="e">
        <f ca="1">[2]!BexGetData("DP_1","00O2TNJGODT0K3USBW3W1AKTC","9","93","1")</f>
        <v>#NAME?</v>
      </c>
      <c r="H63" s="34" t="e">
        <f ca="1">[2]!BexGetData("DP_1","00O2TNJGODT0K3USBW3W1AR4W","9","93","1")</f>
        <v>#NAME?</v>
      </c>
      <c r="I63" s="36" t="e">
        <f ca="1">[2]!BexGetData("DP_1","00O2TNJGODT0K3USBW3W1B3S0","9","93","1")</f>
        <v>#NAME?</v>
      </c>
      <c r="J63" s="34" t="e">
        <f ca="1">[2]!BexGetData("DP_1","00O2TNJGODT0K3USBW3W1BA3K","9","93","1")</f>
        <v>#NAME?</v>
      </c>
    </row>
    <row r="64" spans="1:10" x14ac:dyDescent="0.25">
      <c r="A64" s="33" t="s">
        <v>48</v>
      </c>
      <c r="B64" s="33" t="s">
        <v>48</v>
      </c>
      <c r="C64" s="33" t="s">
        <v>51</v>
      </c>
      <c r="D64" s="34" t="e">
        <f ca="1">[2]!BexGetData("DP_1","00O2TNJGODT0K3USBW3W18AN4","9","93","5")</f>
        <v>#NAME?</v>
      </c>
      <c r="E64" s="35" t="e">
        <f ca="1">[2]!BexGetData("DP_1","00O2TNJGODT0K3USBW3W1A1UO","9","93","5")</f>
        <v>#NAME?</v>
      </c>
      <c r="F64" s="34" t="e">
        <f ca="1">[2]!BexGetData("DP_1","00O2TNJGODT0K3USBW3W1A868","9","93","5")</f>
        <v>#NAME?</v>
      </c>
      <c r="G64" s="34" t="e">
        <f ca="1">[2]!BexGetData("DP_1","00O2TNJGODT0K3USBW3W1AKTC","9","93","5")</f>
        <v>#NAME?</v>
      </c>
      <c r="H64" s="34" t="e">
        <f ca="1">[2]!BexGetData("DP_1","00O2TNJGODT0K3USBW3W1AR4W","9","93","5")</f>
        <v>#NAME?</v>
      </c>
      <c r="I64" s="36" t="e">
        <f ca="1">[2]!BexGetData("DP_1","00O2TNJGODT0K3USBW3W1B3S0","9","93","5")</f>
        <v>#NAME?</v>
      </c>
      <c r="J64" s="34" t="e">
        <f ca="1">[2]!BexGetData("DP_1","00O2TNJGODT0K3USBW3W1BA3K","9","93","5")</f>
        <v>#NAME?</v>
      </c>
    </row>
    <row r="65" spans="1:10" x14ac:dyDescent="0.25">
      <c r="A65" s="33" t="s">
        <v>48</v>
      </c>
      <c r="B65" s="33" t="s">
        <v>48</v>
      </c>
      <c r="C65" s="37" t="s">
        <v>49</v>
      </c>
      <c r="D65" s="38" t="e">
        <f ca="1">[2]!BexGetData("DP_1","00O2TNJGODT0K3USBW3W18AN4","9","93","SUMME")</f>
        <v>#NAME?</v>
      </c>
      <c r="E65" s="39" t="e">
        <f ca="1">[2]!BexGetData("DP_1","00O2TNJGODT0K3USBW3W1A1UO","9","93","SUMME")</f>
        <v>#NAME?</v>
      </c>
      <c r="F65" s="38" t="e">
        <f ca="1">[2]!BexGetData("DP_1","00O2TNJGODT0K3USBW3W1A868","9","93","SUMME")</f>
        <v>#NAME?</v>
      </c>
      <c r="G65" s="38" t="e">
        <f ca="1">[2]!BexGetData("DP_1","00O2TNJGODT0K3USBW3W1AKTC","9","93","SUMME")</f>
        <v>#NAME?</v>
      </c>
      <c r="H65" s="38" t="e">
        <f ca="1">[2]!BexGetData("DP_1","00O2TNJGODT0K3USBW3W1AR4W","9","93","SUMME")</f>
        <v>#NAME?</v>
      </c>
      <c r="I65" s="40" t="e">
        <f ca="1">[2]!BexGetData("DP_1","00O2TNJGODT0K3USBW3W1B3S0","9","93","SUMME")</f>
        <v>#NAME?</v>
      </c>
      <c r="J65" s="38" t="e">
        <f ca="1">[2]!BexGetData("DP_1","00O2TNJGODT0K3USBW3W1BA3K","9","93","SUMME")</f>
        <v>#NAME?</v>
      </c>
    </row>
    <row r="66" spans="1:10" x14ac:dyDescent="0.25">
      <c r="A66" s="33" t="s">
        <v>48</v>
      </c>
      <c r="B66" s="33" t="s">
        <v>56</v>
      </c>
      <c r="C66" s="33" t="s">
        <v>46</v>
      </c>
      <c r="D66" s="34" t="e">
        <f ca="1">[2]!BexGetData("DP_1","00O2TNJGODT0K3USBW3W18AN4","9","96","1")</f>
        <v>#NAME?</v>
      </c>
      <c r="E66" s="35" t="e">
        <f ca="1">[2]!BexGetData("DP_1","00O2TNJGODT0K3USBW3W1A1UO","9","96","1")</f>
        <v>#NAME?</v>
      </c>
      <c r="F66" s="34" t="e">
        <f ca="1">[2]!BexGetData("DP_1","00O2TNJGODT0K3USBW3W1A868","9","96","1")</f>
        <v>#NAME?</v>
      </c>
      <c r="G66" s="41" t="e">
        <f ca="1">[2]!BexGetData("DP_1","00O2TNJGODT0K3USBW3W1AKTC","9","96","1")</f>
        <v>#NAME?</v>
      </c>
      <c r="H66" s="41" t="e">
        <f ca="1">[2]!BexGetData("DP_1","00O2TNJGODT0K3USBW3W1AR4W","9","96","1")</f>
        <v>#NAME?</v>
      </c>
      <c r="I66" s="42" t="e">
        <f ca="1">[2]!BexGetData("DP_1","00O2TNJGODT0K3USBW3W1B3S0","9","96","1")</f>
        <v>#NAME?</v>
      </c>
      <c r="J66" s="34" t="e">
        <f ca="1">[2]!BexGetData("DP_1","00O2TNJGODT0K3USBW3W1BA3K","9","96","1")</f>
        <v>#NAME?</v>
      </c>
    </row>
    <row r="67" spans="1:10" x14ac:dyDescent="0.25">
      <c r="A67" s="33" t="s">
        <v>48</v>
      </c>
      <c r="B67" s="33" t="s">
        <v>48</v>
      </c>
      <c r="C67" s="37" t="s">
        <v>49</v>
      </c>
      <c r="D67" s="38" t="e">
        <f ca="1">[2]!BexGetData("DP_1","00O2TNJGODT0K3USBW3W18AN4","9","96","SUMME")</f>
        <v>#NAME?</v>
      </c>
      <c r="E67" s="39" t="e">
        <f ca="1">[2]!BexGetData("DP_1","00O2TNJGODT0K3USBW3W1A1UO","9","96","SUMME")</f>
        <v>#NAME?</v>
      </c>
      <c r="F67" s="38" t="e">
        <f ca="1">[2]!BexGetData("DP_1","00O2TNJGODT0K3USBW3W1A868","9","96","SUMME")</f>
        <v>#NAME?</v>
      </c>
      <c r="G67" s="43" t="e">
        <f ca="1">[2]!BexGetData("DP_1","00O2TNJGODT0K3USBW3W1AKTC","9","96","SUMME")</f>
        <v>#NAME?</v>
      </c>
      <c r="H67" s="43" t="e">
        <f ca="1">[2]!BexGetData("DP_1","00O2TNJGODT0K3USBW3W1AR4W","9","96","SUMME")</f>
        <v>#NAME?</v>
      </c>
      <c r="I67" s="44" t="e">
        <f ca="1">[2]!BexGetData("DP_1","00O2TNJGODT0K3USBW3W1B3S0","9","96","SUMME")</f>
        <v>#NAME?</v>
      </c>
      <c r="J67" s="38" t="e">
        <f ca="1">[2]!BexGetData("DP_1","00O2TNJGODT0K3USBW3W1BA3K","9","96","SUMME")</f>
        <v>#NAME?</v>
      </c>
    </row>
    <row r="68" spans="1:10" x14ac:dyDescent="0.25">
      <c r="A68" s="33" t="s">
        <v>48</v>
      </c>
      <c r="B68" s="37" t="s">
        <v>49</v>
      </c>
      <c r="C68" s="37" t="s">
        <v>48</v>
      </c>
      <c r="D68" s="38" t="e">
        <f ca="1">[2]!BexGetData("DP_1","00O2TNJGODT0K3USBW3W18AN4","9","SUMME","SUMME")</f>
        <v>#NAME?</v>
      </c>
      <c r="E68" s="39" t="e">
        <f ca="1">[2]!BexGetData("DP_1","00O2TNJGODT0K3USBW3W1A1UO","9","SUMME","SUMME")</f>
        <v>#NAME?</v>
      </c>
      <c r="F68" s="38" t="e">
        <f ca="1">[2]!BexGetData("DP_1","00O2TNJGODT0K3USBW3W1A868","9","SUMME","SUMME")</f>
        <v>#NAME?</v>
      </c>
      <c r="G68" s="38" t="e">
        <f ca="1">[2]!BexGetData("DP_1","00O2TNJGODT0K3USBW3W1AKTC","9","SUMME","SUMME")</f>
        <v>#NAME?</v>
      </c>
      <c r="H68" s="38" t="e">
        <f ca="1">[2]!BexGetData("DP_1","00O2TNJGODT0K3USBW3W1AR4W","9","SUMME","SUMME")</f>
        <v>#NAME?</v>
      </c>
      <c r="I68" s="40" t="e">
        <f ca="1">[2]!BexGetData("DP_1","00O2TNJGODT0K3USBW3W1B3S0","9","SUMME","SUMME")</f>
        <v>#NAME?</v>
      </c>
      <c r="J68" s="38" t="e">
        <f ca="1">[2]!BexGetData("DP_1","00O2TNJGODT0K3USBW3W1BA3K","9","SUMME","SUMME")</f>
        <v>#NAME?</v>
      </c>
    </row>
    <row r="69" spans="1:10" x14ac:dyDescent="0.25">
      <c r="A69" s="33" t="s">
        <v>57</v>
      </c>
      <c r="B69" s="33" t="s">
        <v>58</v>
      </c>
      <c r="C69" s="33" t="s">
        <v>58</v>
      </c>
      <c r="D69" s="41" t="e">
        <f ca="1">[2]!BexGetData("DP_1","00O2TNJGODT0K3USBW3W18AN4","P","PO","O")</f>
        <v>#NAME?</v>
      </c>
      <c r="E69" s="35" t="e">
        <f ca="1">[2]!BexGetData("DP_1","00O2TNJGODT0K3USBW3W1A1UO","P","PO","O")</f>
        <v>#NAME?</v>
      </c>
      <c r="F69" s="35" t="e">
        <f ca="1">[2]!BexGetData("DP_1","00O2TNJGODT0K3USBW3W1A868","P","PO","O")</f>
        <v>#NAME?</v>
      </c>
      <c r="G69" s="34" t="e">
        <f ca="1">[2]!BexGetData("DP_1","00O2TNJGODT0K3USBW3W1AKTC","P","PO","O")</f>
        <v>#NAME?</v>
      </c>
      <c r="H69" s="34" t="e">
        <f ca="1">[2]!BexGetData("DP_1","00O2TNJGODT0K3USBW3W1AR4W","P","PO","O")</f>
        <v>#NAME?</v>
      </c>
      <c r="I69" s="42" t="e">
        <f ca="1">[2]!BexGetData("DP_1","00O2TNJGODT0K3USBW3W1B3S0","P","PO","O")</f>
        <v>#NAME?</v>
      </c>
      <c r="J69" s="34" t="e">
        <f ca="1">[2]!BexGetData("DP_1","00O2TNJGODT0K3USBW3W1BA3K","P","PO","O")</f>
        <v>#NAME?</v>
      </c>
    </row>
    <row r="70" spans="1:10" x14ac:dyDescent="0.25">
      <c r="A70" s="33" t="s">
        <v>48</v>
      </c>
      <c r="B70" s="33" t="s">
        <v>48</v>
      </c>
      <c r="C70" s="37" t="s">
        <v>49</v>
      </c>
      <c r="D70" s="43" t="e">
        <f ca="1">[2]!BexGetData("DP_1","00O2TNJGODT0K3USBW3W18AN4","P","PO","SUMME")</f>
        <v>#NAME?</v>
      </c>
      <c r="E70" s="39" t="e">
        <f ca="1">[2]!BexGetData("DP_1","00O2TNJGODT0K3USBW3W1A1UO","P","PO","SUMME")</f>
        <v>#NAME?</v>
      </c>
      <c r="F70" s="39" t="e">
        <f ca="1">[2]!BexGetData("DP_1","00O2TNJGODT0K3USBW3W1A868","P","PO","SUMME")</f>
        <v>#NAME?</v>
      </c>
      <c r="G70" s="38" t="e">
        <f ca="1">[2]!BexGetData("DP_1","00O2TNJGODT0K3USBW3W1AKTC","P","PO","SUMME")</f>
        <v>#NAME?</v>
      </c>
      <c r="H70" s="38" t="e">
        <f ca="1">[2]!BexGetData("DP_1","00O2TNJGODT0K3USBW3W1AR4W","P","PO","SUMME")</f>
        <v>#NAME?</v>
      </c>
      <c r="I70" s="44" t="e">
        <f ca="1">[2]!BexGetData("DP_1","00O2TNJGODT0K3USBW3W1B3S0","P","PO","SUMME")</f>
        <v>#NAME?</v>
      </c>
      <c r="J70" s="38" t="e">
        <f ca="1">[2]!BexGetData("DP_1","00O2TNJGODT0K3USBW3W1BA3K","P","PO","SUMME")</f>
        <v>#NAME?</v>
      </c>
    </row>
    <row r="71" spans="1:10" x14ac:dyDescent="0.25">
      <c r="A71" s="33" t="s">
        <v>48</v>
      </c>
      <c r="B71" s="37" t="s">
        <v>49</v>
      </c>
      <c r="C71" s="37" t="s">
        <v>48</v>
      </c>
      <c r="D71" s="43" t="e">
        <f ca="1">[2]!BexGetData("DP_1","00O2TNJGODT0K3USBW3W18AN4","P","SUMME","SUMME")</f>
        <v>#NAME?</v>
      </c>
      <c r="E71" s="39" t="e">
        <f ca="1">[2]!BexGetData("DP_1","00O2TNJGODT0K3USBW3W1A1UO","P","SUMME","SUMME")</f>
        <v>#NAME?</v>
      </c>
      <c r="F71" s="39" t="e">
        <f ca="1">[2]!BexGetData("DP_1","00O2TNJGODT0K3USBW3W1A868","P","SUMME","SUMME")</f>
        <v>#NAME?</v>
      </c>
      <c r="G71" s="38" t="e">
        <f ca="1">[2]!BexGetData("DP_1","00O2TNJGODT0K3USBW3W1AKTC","P","SUMME","SUMME")</f>
        <v>#NAME?</v>
      </c>
      <c r="H71" s="38" t="e">
        <f ca="1">[2]!BexGetData("DP_1","00O2TNJGODT0K3USBW3W1AR4W","P","SUMME","SUMME")</f>
        <v>#NAME?</v>
      </c>
      <c r="I71" s="44" t="e">
        <f ca="1">[2]!BexGetData("DP_1","00O2TNJGODT0K3USBW3W1B3S0","P","SUMME","SUMME")</f>
        <v>#NAME?</v>
      </c>
      <c r="J71" s="38" t="e">
        <f ca="1">[2]!BexGetData("DP_1","00O2TNJGODT0K3USBW3W1BA3K","P","SUMME","SUMME")</f>
        <v>#NAME?</v>
      </c>
    </row>
    <row r="72" spans="1:10" x14ac:dyDescent="0.25">
      <c r="A72" s="33" t="s">
        <v>59</v>
      </c>
      <c r="B72" s="33" t="s">
        <v>59</v>
      </c>
      <c r="C72" s="33" t="s">
        <v>46</v>
      </c>
      <c r="D72" s="41" t="e">
        <f ca="1">[2]!BexGetData("DP_1","00O2TNJGODT0K3USBW3W18AN4","#","#","1")</f>
        <v>#NAME?</v>
      </c>
      <c r="E72" s="35" t="e">
        <f ca="1">[2]!BexGetData("DP_1","00O2TNJGODT0K3USBW3W1A1UO","#","#","1")</f>
        <v>#NAME?</v>
      </c>
      <c r="F72" s="35" t="e">
        <f ca="1">[2]!BexGetData("DP_1","00O2TNJGODT0K3USBW3W1A868","#","#","1")</f>
        <v>#NAME?</v>
      </c>
      <c r="G72" s="34" t="e">
        <f ca="1">[2]!BexGetData("DP_1","00O2TNJGODT0K3USBW3W1AKTC","#","#","1")</f>
        <v>#NAME?</v>
      </c>
      <c r="H72" s="41" t="e">
        <f ca="1">[2]!BexGetData("DP_1","00O2TNJGODT0K3USBW3W1AR4W","#","#","1")</f>
        <v>#NAME?</v>
      </c>
      <c r="I72" s="42" t="e">
        <f ca="1">[2]!BexGetData("DP_1","00O2TNJGODT0K3USBW3W1B3S0","#","#","1")</f>
        <v>#NAME?</v>
      </c>
      <c r="J72" s="41" t="e">
        <f ca="1">[2]!BexGetData("DP_1","00O2TNJGODT0K3USBW3W1BA3K","#","#","1")</f>
        <v>#NAME?</v>
      </c>
    </row>
    <row r="73" spans="1:10" x14ac:dyDescent="0.25">
      <c r="A73" s="33" t="s">
        <v>48</v>
      </c>
      <c r="B73" s="33" t="s">
        <v>48</v>
      </c>
      <c r="C73" s="33" t="s">
        <v>47</v>
      </c>
      <c r="D73" s="41" t="e">
        <f ca="1">[2]!BexGetData("DP_1","00O2TNJGODT0K3USBW3W18AN4","#","#","2")</f>
        <v>#NAME?</v>
      </c>
      <c r="E73" s="35" t="e">
        <f ca="1">[2]!BexGetData("DP_1","00O2TNJGODT0K3USBW3W1A1UO","#","#","2")</f>
        <v>#NAME?</v>
      </c>
      <c r="F73" s="35" t="e">
        <f ca="1">[2]!BexGetData("DP_1","00O2TNJGODT0K3USBW3W1A868","#","#","2")</f>
        <v>#NAME?</v>
      </c>
      <c r="G73" s="41" t="e">
        <f ca="1">[2]!BexGetData("DP_1","00O2TNJGODT0K3USBW3W1AKTC","#","#","2")</f>
        <v>#NAME?</v>
      </c>
      <c r="H73" s="34" t="e">
        <f ca="1">[2]!BexGetData("DP_1","00O2TNJGODT0K3USBW3W1AR4W","#","#","2")</f>
        <v>#NAME?</v>
      </c>
      <c r="I73" s="42" t="e">
        <f ca="1">[2]!BexGetData("DP_1","00O2TNJGODT0K3USBW3W1B3S0","#","#","2")</f>
        <v>#NAME?</v>
      </c>
      <c r="J73" s="34" t="e">
        <f ca="1">[2]!BexGetData("DP_1","00O2TNJGODT0K3USBW3W1BA3K","#","#","2")</f>
        <v>#NAME?</v>
      </c>
    </row>
    <row r="74" spans="1:10" x14ac:dyDescent="0.25">
      <c r="A74" s="33" t="s">
        <v>48</v>
      </c>
      <c r="B74" s="33" t="s">
        <v>48</v>
      </c>
      <c r="C74" s="33" t="s">
        <v>51</v>
      </c>
      <c r="D74" s="41" t="e">
        <f ca="1">[2]!BexGetData("DP_1","00O2TNJGODT0K3USBW3W18AN4","#","#","5")</f>
        <v>#NAME?</v>
      </c>
      <c r="E74" s="35" t="e">
        <f ca="1">[2]!BexGetData("DP_1","00O2TNJGODT0K3USBW3W1A1UO","#","#","5")</f>
        <v>#NAME?</v>
      </c>
      <c r="F74" s="35" t="e">
        <f ca="1">[2]!BexGetData("DP_1","00O2TNJGODT0K3USBW3W1A868","#","#","5")</f>
        <v>#NAME?</v>
      </c>
      <c r="G74" s="41" t="e">
        <f ca="1">[2]!BexGetData("DP_1","00O2TNJGODT0K3USBW3W1AKTC","#","#","5")</f>
        <v>#NAME?</v>
      </c>
      <c r="H74" s="34" t="e">
        <f ca="1">[2]!BexGetData("DP_1","00O2TNJGODT0K3USBW3W1AR4W","#","#","5")</f>
        <v>#NAME?</v>
      </c>
      <c r="I74" s="42" t="e">
        <f ca="1">[2]!BexGetData("DP_1","00O2TNJGODT0K3USBW3W1B3S0","#","#","5")</f>
        <v>#NAME?</v>
      </c>
      <c r="J74" s="34" t="e">
        <f ca="1">[2]!BexGetData("DP_1","00O2TNJGODT0K3USBW3W1BA3K","#","#","5")</f>
        <v>#NAME?</v>
      </c>
    </row>
    <row r="75" spans="1:10" x14ac:dyDescent="0.25">
      <c r="A75" s="33" t="s">
        <v>48</v>
      </c>
      <c r="B75" s="33" t="s">
        <v>48</v>
      </c>
      <c r="C75" s="37" t="s">
        <v>49</v>
      </c>
      <c r="D75" s="43" t="e">
        <f ca="1">[2]!BexGetData("DP_1","00O2TNJGODT0K3USBW3W18AN4","#","#","SUMME")</f>
        <v>#NAME?</v>
      </c>
      <c r="E75" s="39" t="e">
        <f ca="1">[2]!BexGetData("DP_1","00O2TNJGODT0K3USBW3W1A1UO","#","#","SUMME")</f>
        <v>#NAME?</v>
      </c>
      <c r="F75" s="39" t="e">
        <f ca="1">[2]!BexGetData("DP_1","00O2TNJGODT0K3USBW3W1A868","#","#","SUMME")</f>
        <v>#NAME?</v>
      </c>
      <c r="G75" s="38" t="e">
        <f ca="1">[2]!BexGetData("DP_1","00O2TNJGODT0K3USBW3W1AKTC","#","#","SUMME")</f>
        <v>#NAME?</v>
      </c>
      <c r="H75" s="38" t="e">
        <f ca="1">[2]!BexGetData("DP_1","00O2TNJGODT0K3USBW3W1AR4W","#","#","SUMME")</f>
        <v>#NAME?</v>
      </c>
      <c r="I75" s="44" t="e">
        <f ca="1">[2]!BexGetData("DP_1","00O2TNJGODT0K3USBW3W1B3S0","#","#","SUMME")</f>
        <v>#NAME?</v>
      </c>
      <c r="J75" s="38" t="e">
        <f ca="1">[2]!BexGetData("DP_1","00O2TNJGODT0K3USBW3W1BA3K","#","#","SUMME")</f>
        <v>#NAME?</v>
      </c>
    </row>
    <row r="76" spans="1:10" x14ac:dyDescent="0.25">
      <c r="A76" s="33" t="s">
        <v>48</v>
      </c>
      <c r="B76" s="37" t="s">
        <v>49</v>
      </c>
      <c r="C76" s="37" t="s">
        <v>48</v>
      </c>
      <c r="D76" s="43" t="e">
        <f ca="1">[2]!BexGetData("DP_1","00O2TNJGODT0K3USBW3W18AN4","#","SUMME","SUMME")</f>
        <v>#NAME?</v>
      </c>
      <c r="E76" s="39" t="e">
        <f ca="1">[2]!BexGetData("DP_1","00O2TNJGODT0K3USBW3W1A1UO","#","SUMME","SUMME")</f>
        <v>#NAME?</v>
      </c>
      <c r="F76" s="39" t="e">
        <f ca="1">[2]!BexGetData("DP_1","00O2TNJGODT0K3USBW3W1A868","#","SUMME","SUMME")</f>
        <v>#NAME?</v>
      </c>
      <c r="G76" s="38" t="e">
        <f ca="1">[2]!BexGetData("DP_1","00O2TNJGODT0K3USBW3W1AKTC","#","SUMME","SUMME")</f>
        <v>#NAME?</v>
      </c>
      <c r="H76" s="38" t="e">
        <f ca="1">[2]!BexGetData("DP_1","00O2TNJGODT0K3USBW3W1AR4W","#","SUMME","SUMME")</f>
        <v>#NAME?</v>
      </c>
      <c r="I76" s="44" t="e">
        <f ca="1">[2]!BexGetData("DP_1","00O2TNJGODT0K3USBW3W1B3S0","#","SUMME","SUMME")</f>
        <v>#NAME?</v>
      </c>
      <c r="J76" s="38" t="e">
        <f ca="1">[2]!BexGetData("DP_1","00O2TNJGODT0K3USBW3W1BA3K","#","SUMME","SUMME")</f>
        <v>#NAME?</v>
      </c>
    </row>
    <row r="77" spans="1:10" x14ac:dyDescent="0.25">
      <c r="A77" s="37" t="s">
        <v>60</v>
      </c>
      <c r="B77" s="37" t="s">
        <v>48</v>
      </c>
      <c r="C77" s="37" t="s">
        <v>48</v>
      </c>
      <c r="D77" s="38" t="e">
        <f ca="1">[2]!BexGetData("DP_1","00O2TNJGODT0K3USBW3W18AN4","SUMME","SUMME","SUMME")</f>
        <v>#NAME?</v>
      </c>
      <c r="E77" s="38" t="e">
        <f ca="1">[2]!BexGetData("DP_1","00O2TNJGODT0K3USBW3W1A1UO","SUMME","SUMME","SUMME")</f>
        <v>#NAME?</v>
      </c>
      <c r="F77" s="38" t="e">
        <f ca="1">[2]!BexGetData("DP_1","00O2TNJGODT0K3USBW3W1A868","SUMME","SUMME","SUMME")</f>
        <v>#NAME?</v>
      </c>
      <c r="G77" s="38" t="e">
        <f ca="1">[2]!BexGetData("DP_1","00O2TNJGODT0K3USBW3W1AKTC","SUMME","SUMME","SUMME")</f>
        <v>#NAME?</v>
      </c>
      <c r="H77" s="38" t="e">
        <f ca="1">[2]!BexGetData("DP_1","00O2TNJGODT0K3USBW3W1AR4W","SUMME","SUMME","SUMME")</f>
        <v>#NAME?</v>
      </c>
      <c r="I77" s="40" t="e">
        <f ca="1">[2]!BexGetData("DP_1","00O2TNJGODT0K3USBW3W1B3S0","SUMME","SUMME","SUMME")</f>
        <v>#NAME?</v>
      </c>
      <c r="J77" s="38" t="e">
        <f ca="1">[2]!BexGetData("DP_1","00O2TNJGODT0K3USBW3W1BA3K","SUMME","SUMME","SUMME")</f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P n 1 8 1 / 7 + + O n p 6 5 N X Z y / f 4 I + 9 8 X Z 6 U m Z N c V 5 M s 2 n x j / 6 t y 3 R V 1 e m z d b 5 s 8 3 S W p 8 + K J e F X Z I u C P q k e 3 / V f f v z s 1 Z c v 3 p y + e P r 7 a 4 + / / 9 m L Z 1 8 e P b i 3 s z O + N 7 6 / s z v e f f g p o R h v 9 v j N 7 / / 0 + M 3 x y 1 d f / u T Z 0 9 N X h O 3 r V 7 / / 6 9 + 7 8 + G L 4 y 9 O j 5 6 + / P 1 p W P w r j e k n v j p 9 / Y a G c f Y F / f X q 9 / 7 9 f + / n r 3 9 / / u P s y y f f e f H F 0 U 8 9 + + L k 5 P j z Z 4 / v 6 g f 8 x Z v f + 0 1 6 9 + j x 6 6 + + O H 7 y / P T o 9 3 5 8 1 / z 6 + O z 1 7 / / 6 z a u v T t 5 8 9 e o U b Y 5 / 7 7 P X + P n y y 9 d n b 4 6 I 9 P t E Z v 7 9 8 c m 3 j 3 / y + e 9 / K r D k D w X M f + C X F 1 8 + P f 3 9 p W f + / K s v v u L P X z 4 / / c l T b U F d c w 9 o 9 v L V 6 x d v j v Y E W / n j M a H z 5 v d / / p P P q X P C 0 / z x + N u v f p / f / / j k z d l P M p r f P j u V L p S s + J W I d / q G + E I f m i / 5 4 P H r 3 / / N 7 / P y 6 P c i a P w L / U 2 9 e a S S v x + D k q + O j v E 3 f q G / T 5 + / + e r s 6 S 7 T T v / Y 4 9 4 F 0 L c f 3 9 X f 8 A n B 0 O 8 U j P 6 G T z x A 9 i + B 5 F P m 6 e n Z U w 9 9 / e D x y Z f E P i 9 e H c m n 5 i 9 8 / O b 4 7 M X r 3 / / 3 + n 2 e 4 f 3 P z 1 6 / e Q m p k F / w 9 / G b N 6 / O h E 5 C u t / / 9 e n z 0 x M w s P c Z I J 6 Z z 0 B m n k W e d E v q Z 8 + P P 4 d 4 u T 8 M 5 c 0 3 / p 8 6 F e Y r 7 6 / H 9 O + b 3 1 + Z i 6 T D / S X f v O 5 8 Z / 4 2 3 x K x g Z P + R e T l c T w / P X 5 G S L 9 + C V b y / r L f n H y b 5 / D l l y e A z D 8 f y y w Q V b / c e / P i O 5 9 / + f T N z u 9 1 7 6 v X T 7 5 7 7 7 u 7 n 3 7 6 + v P H d 7 U F e v t 8 7 y j F s 5 O m u 5 + m e 4 w d f f b 4 z b e / 8 0 Y R + n w f v 7 z h + W Q G / + L 4 9 5 a / 0 K f 7 4 / E X Z y + 8 z + 0 f I P 1 r M w U 0 z t P X S v 3 X w J J J j 9 8 e v y Z K c 0 + / 9 5 v X 3 3 7 2 / O j 3 e X z X / I r P v n h q P + N f 8 d n z z + m X 3 5 s / 4 1 9 J 3 Z A s n Z y + f v 3 7 f 0 F z z b Q x j G E / + e L 0 i y e n r 7 r t C I t X R H f G 7 e k p M e D z 3 5 / e C d g K T Y i 1 h B n d H 6 S G f Y U V 0 1 4 7 z 7 4 i 5 v 7 9 W T K f / T 7 f m A 7 b + f T / r z q s S 7 A f a b I f a b J Q k 5 3 c f 3 k y p M n S T / + / q M d + n / 9 v 6 L G T 3 / / 4 1 e n x N 6 b D d n 9 W d N j R V x B O / u 3 / F b r M E O 1 H e u x H e i z U Y 6 f 3 D g Y 9 s r 2 d / 7 f r s d / 7 / 5 t 6 D H 7 F 6 c n J l 9 + Y F t t 5 8 L O h x f D b z 7 X 2 c q T 6 k e 7 6 k e 7 q + G A n O 9 8 d 9 M E e / L 9 d d / 1 / O Z Z 8 / f u f v H n 1 z W m v g 5 8 N 7 f X / N h / M E O 1 H e u x H e q y j x 8 5 O B n 2 w 9 O D / T X r s 9 4 7 o s d 8 7 o s f + P + C D 7 Z x 8 8 c W b 3 / / s z e k X k u c 5 O 6 E 1 i G 9 M p e 3 u / W y o N P z 2 c 6 7 K 4 n T 7 k V b 7 k V Y L t d r T p 7 / P w W C u f / / / T V r t / 0 f e m U j k l 9 9 g a L l 7 / 2 d f k + 3 8 n G g y j 1 Y / F 9 r r R 9 r r / 9 X a 6 7 v f H Y w t d x / + S H u x v H 3 T 2 q v v W 3 z 5 4 u S b 0 2 T 3 f v Y 1 2 f 9 b f D K m 2 4 + 0 2 o + 0 W k e r / V 4 P X w 9 q t f s / a 1 o N C u c V S / v r 3 5 / + V t o f / d S 3 P W a V j w z n P 6 R n d + + e J X I g H W 9 I c I + + k 9 f j 9 K R a T v N V W 6 U c g / D n p G b C v u 4 K B j + P t e q z s 9 c n L 0 + / w X z d D y G 4 3 f 2 5 U a S W V D / S n T / S n R 3 d + R P P T w Z 1 5 / + r V h t + 7 4 j u + r 0 j u u v / C 1 k 6 J M 7 F q T l 9 9 u W L b 0 6 F / f 8 2 q u 1 R 7 E e a 7 E e a L N R k T 9 7 s H Q y u N / w o M / e z q M m + O f 3 1 s x L L / r 9 u y f R H 2 u t H 2 q u n v b 7 4 i S 8 H t d f e / 5 u 0 1 + 8 d 0 V 6 / d 0 R 7 / X / N D 3 v 2 Q W o M w + W f P 8 v K D L / 9 v 0 K J e W T 7 k T b 7 O d F m e / 9 v V m c / 9 X Q w J Z f + 7 K X k z A y 8 h z r 7 / 5 E z B o E 8 + e K r b z C e 3 P 3 Z U G F x f + z z n x N V 5 k j 2 I y X 2 c 6 L E / l + s w z 5 9 u r 8 z m B o 7 + H + X U / b / G i 3 2 4 V p s 5 + V X v / + T p 5 + / O f s G 4 8 r 9 n w 0 9 h t 9 + 2 K 7 Y 6 6 4 r 5 h H r R x r s R x o s 1 G A P D l 4 O e 2 H 3 / t + v w c T n + v 9 c W M l O x c s v v 0 H 9 9 f D / L / o r 6 n 8 x q X 6 k v X 6 k v U L t d f L l l 4 P + V / r w / + 2 6 6 / + j M e T O y R d f v P n 9 z 9 6 c f v G N a a / d H 2 I U + X O j x X y i / U i P / U i P h X r s 6 e 6 T / c E 4 c v f / T X r s 9 4 7 o s Z g P 9 v 8 F P R a b i Y P 9 J 7 / X J r W G X 3 1 t h o E G f 0 u q / / f u p f p / e B q O s b 1 J r Q F D 7 6 8 N K o 7 B G U G w a s c K w 0 1 a S 3 8 L t J X + 9 r O t p T D G 4 O / 3 1 F k 8 i 9 3 P b q H F o B U 6 n 3 h a b W d Q q + 0 M a z V r X 3 4 Y W s 3 / y 2 k y / N y k w 0 R y B n y x 3 f 9 X R Z L 6 K z S W / g p F h V / / 3 6 q q r P c g a 2 p n r 0 5 e n X 2 Q 9 x V Z j P x Z 0 V D 4 7 f 8 9 v l d A v R + 5 Y T 8 n b t j e 7 j e v s b 4 p P + z T l 6 + G / b C 9 / 1 f p s P 9 / R p Q q o G 9 + F t T b 3 s 8 b 9 f b m R + r t 5 1 C 9 7 f 2 / V 7 0 9 f f D F l 4 P q 7 d 6 P l B s L 3 z e t 3 D h / T a r p g / Q Z f t p k 2 c 7 / X z W Z I 9 W P l N f P i f I y + u l n V X d 9 P d 1 1 8 t V P D Y a X u 4 L 3 j 3 T X h + i u u / w v d Q J s X v H n 1 M u p U 2 S 3 y J e x 1 h l o e P y C X G t p I O 1 o 8 E d n y 4 s 6 b 6 o m / Y 2 T 0 6 Y t F t m s S o + X 6 6 z U p m g T i 1 C / f f b 0 6 e k L p Q p P z t E z m j v z + + O X x 6 9 O J R P 2 9 N X Z 8 + e v 3 x C / H 5 F e 8 f 5 6 / O 3 j 1 0 9 P n x 1 / 9 f z N 0 y 9 P v h I G e f n i + A s m 6 5 P j 1 6 d P Q c k 3 z 7 / 8 / M v g E 6 t L 7 S c n X 3 7 x 8 u x p + J o q 5 b s d W v 6 s k P b z 3 + f L D y W t 8 4 6 F t J w f l N 8 c i V / 3 S b x p s r X F r a e A + w w / + f / s l L w 4 P u h P y f F i V R b Z t K i W e f M b J 8 O T c e + b n Q x m j 8 h k P P / 5 M h l v n r / u T 8 b W q 3 y 2 n s p k 3 N k 0 G / s / m o 1 v d D Z + 6 v c + 2 S w a 6 T X p L G 9 2 N q i t + 9 2 5 + X 0 i c 3 O z Z d h I + / 8 P W 4 a H n x 5 8 d 6 N l + K K a F e f F d L N t + P R H R N 5 I 5 J P f 6 / M N R D b G N 0 r a B 9 8 M a f / / 6 t k 8 P P v u z i 1 I m 1 Z 1 l L o H 3 6 j m l n n + e e z U P H z 5 4 P f a r L m j s / D w m 5 0 F Z o m f x / b z 4 U 9 + J x J I B d 5 M b B q 8 r N G P p u E b m I b j 3 a 8 i Q V f H j f E m J T o n H x j Q / v / V o h 4 f f B q J n q z a d 0 5 L l K j d U P Z H R B W i n n 4 7 E g V Z o j 7 N L / P l B Y z p l 6 + i Z P 2 6 Q e n 7 k P f / T / r h 9 3 o T C X P 6 5 I 7 S u h t y / o i F h a a / 9 + e b P O 1 X + T R b z z a w c C 9 a / B E L b y T 3 q / 1 N 0 a M l d 5 T W 3 a D x R y z M D Z / c e x 2 J a H 7 3 d J a n x 5 f Z c p r T b 7 9 x U m a G u t P i H / 1 b l 1 E C d 0 P H H x F Y C H x 8 L x K k u J D x 3 T S f 5 c t 2 w C H r R o w / I q o Q 9 f N n k Z j j O K 5 l e / H e 1 8 t p / L + B l n f 5 3 x N Z R n t 2 f I I f x 2 9 e y U I / / 6 L E 4 5 X r 4 8 + f O W r q Q q 9 8 8 8 V X L x 7 f N Z / I V 2 + k R x s l b w r P A D O 2 L v + z s X I r K 6 x C D D P I 7 m h 3 n n 3 1 4 u T 3 p 0 k 7 j o / 3 l B Y n f 1 6 N 9 / V X T 3 5 e j f f N 2 Q e M 9 / 9 b 4 9 1 5 + d X v / 4 w W 1 L 9 6 s v v z Z Y r d k O / 9 f B k y c f X L V 1 + e v v 5 5 N N 7 n Z y + O T 3 6 + j N e x 9 N 7 P l y H T F J + + f v P q + O f R e E 9 O n 5 3 9 v H G 0 w N I 0 v 7 / / 2 c 8 v V + v Z z z N X m m T 4 5 9 V 4 X 7 7 6 / O f V e E + / 8 + q b G e / n / + 8 f L 7 l Y n 7 8 6 / u J G k 9 R d F o s P e P f / / Q N + 9 s W r 0 z d f f j P z + / 8 e f n 7 6 + v c / e f M q Y p G e f P V a K f F N D H j n / / 0 D h l d 5 8 v / L 2 H B w y G D p 1 y 9 / / v C 0 j B e J x p 8 3 Q 7 Z c / f + 7 W G n T k P / / 6 U v f P M n / v 8 v x P I 1 J 8 d n r k 5 8 8 f v X i G / K l / 9 / j e k Q H S x 9 j Y e X n w 1 j B x k / / / 2 m B N 4 3 2 / 3 + a + e e V U h 6 I B Z 9 9 + Q 3 l N n b + 3 z 7 U k 2 e / z z c z 0 v 9 X T + r O 8 c v f / 8 t n v 7 9 8 + f / 7 0 Q o L P / v / 1 U h J B T 1 5 + v m b s w H 1 d H L 8 4 u n x m 2 / I 0 P 5 / Y 8 i n v / f L n 1 d D x m C f v f r y i 5 9 X A / 5 Z z V n 9 8 I d 7 8 s U X b 3 7 / s z e n X 8 S V 1 t n J l y / + / 7 U S e s O A T 0 8 + / 4 Z y d P 9 f G e + X / / 9 a V N g w X j Z L Z 4 g R 9 n / + D f n + z 5 c h s 9 p 6 c / L q 7 O f T g E / f n P 2 8 E u P / H w a / t 5 L i / 3 + l c m 4 1 5 P 9 / J W F v k u O X x / / / i h 9 u N c X / / 0 r Z 3 W S b X v 0 8 s k 0 7 N M H f X L 7 9 / / 3 j 5 Q Q e 9 f P z a b x n J z + P G F q U 9 O e n 3 1 A 2 + u d m w H f 5 3 5 P T 5 z J 2 / k X a 7 R L q X + 6 9 e f G d z 7 9 8 + m b n 9 7 r 3 1 e s n 3 7 3 3 3 d 3 j 3 a + + f H z X N N G 2 e z z M 6 G P a 7 h 0 9 f v H V F 7 / / 6 5 P j 5 6 d A A X + 8 f H V 6 g n H b 3 x + f f v H y 2 8 e v z 1 4 z / Z 6 f / u T p c / x 2 8 t U X X / E v z 4 8 / / / z V E Y D K b 4 9 f k M l 4 B X r K L z 7 Z d n e / K b r 9 X m d P 8 Q J + C O X e g 1 w P f / I 7 + 9 8 k u X g e v 0 E i f W P M 9 S F E O j 7 9 9 u v / N x P p 3 v 8 r i P R 7 v T n 5 J o n 0 s y d 4 + / 9 v I N e T 4 3 u / 1 / 8 3 y H X w / w Z y P T z 7 r i X B N 0 G u b 1 g E / 9 9 B o 5 P f 6 / N v k k Y / a y z 1 4 P 8 N 1 D p + t f / d / 0 9 Q a / f T / z e Q 6 8 m 9 1 9 + o A P 7 s k e v / F d z 1 5 P N n 3 6 h f 9 b N H r o f / b y D X 8 e / 9 + T e q u r 5 h 9 b 5 7 / / 8 N R D r 4 / P f 5 R k O b b 5 h I e / + v o N G b 5 / 9 v d t X / X + F 6 P n z 5 4 M N d z 5 8 9 G v 2 / Q y E d f H r w T f L R z 5 7 + / n + H 2 B 2 / + P + I u f t / B b V + 6 v f + / 0 a o / P 8 K s / f w 0 4 P / b z j q / 6 / w 0 w 9 e H H + j i u s b V u 4 / y 6 m q u / z v 0 1 d n z x m z l 6 9 e v j k 7 f S 2 0 e / n q y 5 e n r + R v v K w P U o w A 8 p P H z 7 / i k d / t N t 7 w 8 t 7 u h 7 y 8 9 y E v 3 / u A l + 9 9 y J j 3 P + j l D y H Y v k 8 w Z j j 5 7 f 2 A + I T 7 m k B 2 d 3 w a g N O / D o w P I M X u T k C K 3 a + H w A e w 0 O 7 O / j e A w P 0 P Q e D T D 3 n 5 Q c g E E U V 6 / 8 W b 1 1 9 v V A c f g t j D A L G v h c B u K C Z f D 8 a H 8 M b u N 8 A b e x + g Z X Y / R C 3 v f b h s 7 + 9 8 O I z 7 3 w C M h 9 8 M D J + Y R y 9 X b V a O z 5 Y X 9 X g 7 f d b m 4 2 f F M l t O x 1 8 P d E e h x / y Z / S e / 1 9 e C H T D Q 1 x x 6 w E d f B 8 Y u / r 9 p j C d f f u e L 3 / v T 3 / v F 1 x g j Y N 9 M v 6 + n x g A 7 s J M / 9 e y L 3 / + L k 5 2 v I c s A F e g D A + r 3 P / s J H s D X A e g b j q P j p z / 5 n e P f 5 8 X x P / o n f z 1 g v i E B s C 9 f P / / y i + O v B y u 0 K w d 3 6 X 9 7 O 7 u f f j 1 g v i E 5 2 t u 5 u / O A g a W 7 O 4 / u 7 z 6 6 f + / r Q Q 0 s z D c n z r s d V 9 o b f b q 7 + 4 h w v r f / 9 a A G A k T z 8 / T L V 8 e f f 7 3 5 6 Z j G g 7 u 7 u 4 L h z v 1 H e / c e 3 f t 6 J A 2 M 5 d G P j 9 K d 3 e 3 T F 6 f 0 c 2 / 7 2 e k T + n l v + 4 v j V / R z f / v 4 C X 7 e p 7 9 / H / r 5 6 f Z 3 v n p B P x / Q z + f 0 c 7 j 7 u z a W + c n j V 4 I N / / K T L 4 6 / O P q p 1 7 8 / S d X J y d P T l w Q B n 6 A V x U 1 i f P m 3 x z / 5 8 v j V a w q P o A 7 0 1 8 e v z z 5 / A f v 4 5 c s 3 H M l 9 + V 3 9 8 f u f / t 7 8 y b f P P v + 2 + W k + o 6 / f + L / 9 / s 9 P X 8 D N 8 P 7 i 9 t p I f z W t / D 8 f f / v V 7 2 N a 8 W + 2 k f v r 8 U 9 q i 5 8 0 n 0 C z 2 z 8 e f / v 0 + c v f / / g n j 8 8 4 4 v v i 9 e e / / w s O E M + + f P K d F 1 9 A 2 y h d 9 A M e 3 c k X H F L e t W S M 0 / O L r 1 7 8 i J 4 R e j J d v g Y 9 j z 9 / 9 i N 6 R u j J d H l / e p 6 9 O n l 1 9 i O C h g T d O f n i i z e / / 9 m b 0 y 9 + f 5 9 I 7 0 H d n b P f / 9 n Z 6 x N S v f d u J u 5 Z h 7 j 4 g H + C x E d P 3 j y + i 5 / o 9 o h d Q f x i 6 H 0 k f / O v T L U j t s 7 8 m 5 2 A I / 1 E W v 1 / a y o c G d + H / K 9 / / 5 M v v 3 h J / z w 9 / f 1 3 b 5 6 B L n u H M 3 D 6 E 9 4 M w P 3 p T o H 5 y M 1 C n P 2 P P q 8 m R V 4 v q / S 0 a b N Z l c 7 y 9 H W 1 r O r M U D + Y k / 3 / 1 0 6 K J e 7 7 z c r L 3 / / Z 7 3 N 6 / O r m + X h 5 + / k g 1 + t B Z z 7 s R z f N x / + X Z E A I 9 z 7 U f v 3 7 P / n q 9 f H N x P 5 5 p t u J K L / / 8 a v T 4 x u I e Z f / / f b x i 6 f P E R Y j X N Q / H r 9 + c / y G f p B 5 e P n 7 / 8 R X p 6 9 + H 2 D o / f X 4 7 M X L r 9 5 8 Q e J x h F j O / i H L D 8 / P X j P 6 J 1 + 9 + r 1 + C r + 8 f v U U 8 M C 1 2 7 u 7 2 4 h V 9 K P H p P j O f v L o 9 6 K g R 3 5 7 / P q r l 7 S i 8 v r 1 7 / 8 F / X P 8 + a m F 9 v q r L 3 j F 4 / d / 9 e V 3 X 2 O W w w / c 9 y d f P v / q i x d h E / P Z 4 6 + I z r / / 8 c m b s 5 8 8 5 f c A 2 f 9 M G + L j F 7 / / y b e J a X 7 / L 1 9 I D 6 S g u x / 5 b e j N 1 y C T / x E + o j a v 3 7 z 6 6 s S + x G 3 C j / w 2 D G c 3 a M M f P X 7 9 b Z r F p 1 / S i t I p p S u I P m + O m S 6 d j 4 + V X O H H R G 1 p D Z i U V V B W G U 4 m h Q 3 l v T 3 9 0 w P 0 + u z p 7 3 / 2 4 u n p 7 8 3 k 7 n 5 m W t H q G T 5 8 d v Z 7 Y / T 9 D w 1 4 9 6 Z p 5 n 9 m W k W g B R 8 + x m A x M S 8 + l 1 W 6 0 + / a u T 5 7 Q b H j 2 V P + 9 f W L L 9 / Q Q t m b 3 4 e l 8 Z i I 9 P v Q f L w 6 Q w 7 L / x N 9 M L P e f X V K / P + a N C 5 x 6 F f P 6 e c X x 7 / 3 7 8 9 Y y C / 8 9 + 9 j / v 5 9 + A 1 p S F H q s 2 f o 5 9 V P / C R + i B x 1 s z w q X f z j 9 / / J s 9 P v 2 q b 8 1 + / / R v X R 2 Y t n N L N P / I y T / e j x 5 6 c v v n p x x p H 3 Y B r N t n l M a 4 H P S c a + O H u T v m u K R 8 u i / O y j t l 7 n H 6 E f F p 6 z L 1 l B 2 d 8 f v 4 b + O D t + 8 v z 0 5 M s X b 4 7 P X p y S H r G / / v 6 i R C L Q 3 v z e v z + x z + n J G 7 z / + 3 M M / z r S 7 G 4 U / t 1 X r 1 / 9 / q 9 / b 2 Z k I u Z P n j 3 l T 9 9 0 P h C n F p k I a Y 6 / i A O y R X 4 E 4 p 0 + P 4 U 8 / P 6 k b / i z x 0 G y A u 6 w f v D 7 6 E v 8 G Z m X U / P C 2 X K W v w M 9 5 J f H P 5 m V 6 x 5 s + Z D a h B B j H b w 6 J d 5 + 9 f s f v 3 5 9 + s W T 5 7 / P 5 m 6 e n L 4 7 n s 2 K 5 S j 9 y b x u i m r 5 2 Y N 7 O z t j / m + U n q z L d l 3 n n y 3 z d V t n 5 S h 9 u Z 6 U x f T 3 y q / f V G / z 5 W c P 9 z 7 N P t 3 b O Z h O z u 8 f T L L J 1 8 H z 5 D l h u h n J a b U Y N 9 l q P C n G e T v O l l l 5 / Y O 8 H m d A f E w j O G v z x Z v 8 X X t a 5 o t 8 2 b 4 X F i z Z Z r Y 3 o / H 0 J f v F t 4 d 9 + n u T L N x i r m k I v / e X 3 z n e e / V 7 v f r y 9 O z e 7 / W d 1 1 / u P P 3 u 7 7 X z 8 C e + e v 1 e H b 7 + 9 u n p m 8 1 9 n Z R Z U 5 y P 0 3 f p s z X R K k 8 l 8 1 h k i 4 L + r N 6 r u 6 e n 8 H 1 + / 9 f f P n 5 5 8 w h / n 9 3 n D 7 5 4 8 O X + v e 8 8 / c 5 P v H p y t v P q q w c v X z / 5 q b 3 3 6 v I V V P D m v n 6 3 k 9 9 t 9 x H + e S / A T 8 9 e v 3 x + / P v 8 / l D M Z y e k 9 Z + / O X 2 1 m S 9 Z t b w H 6 G d f v v r i + M 0 3 C x N q 4 v d X P X G D F P 3 C s j 3 8 P d 4 t y v R S J f 2 j 3 f H O R 2 m + n F Y k R x e f f b R u z 7 d 3 P / 3 o 9 / i F F + 3 h b 5 y g + e u 8 L r K y + E H u S V d K I J b N I 9 K y n 3 0 0 b 9 v V o 7 t 3 r 6 6 u x l f 3 x l V 9 Q V n d n d 2 7 v / c X z 1 9 P 5 / k i 2 y 6 W F L Q t p 6 S G z V u z m 9 / 6 S B B I U 6 D w 5 n q V 4 + + T i k G 1 + O y u + d A 0 O n u K v 8 Q D 5 A b y g f m a x 2 / e w V C 4 T f C p j P d u b M D 4 + r 1 Y 6 f i r N 1 8 + O 9 s s h + 8 7 z y f H L 2 E q 3 x v m X d 8 c G Y s n J m y z P b v / s 2 j P 7 r 8 X O X 9 k z 9 4 H i / + X 2 L O f + P T V z u 9 z / H v v P / 3 0 6 c P v n O y + O j 7 5 / L s P v 3 h 4 7 + y 9 O v x / s z 3 b P X v x 6 e 7 D 7 + y / / L 1 / r 9 / r p 7 5 4 9 X v t / 1 4 / + f v 8 X i 8 + / 4 m f e K 8 u b 2 P P T m H P T n 9 k z / 5 / Z c 9 + M i N U J m W + w Z 6 Z m O X 3 9 z L j N 1 k 3 U m U / M m 4 3 G r e 9 n 0 X j 9 p 7 + 7 I + M 2 3 t g 8 f 8 S 4 3 b 6 5 e e n 3 / 3 q J 7 4 6 3 n n y 5 c G z n 6 Q 0 8 7 3 T J 6 9 f 7 j 1 7 r w 7 / 3 2 z c n u x 9 t f f F 6 d n p 5 7 / 3 i + / s / + T 9 n Z d f n p w d / y T 9 7 7 2 6 v I 1 x O 4 Z x O / 6 R c f v 5 a 9 x 0 h e t H l u 3 r W r b P X 1 G a e t f 0 8 Q 2 Z N A P 0 P Q j 4 8 9 O W f V 4 X s / f q / m f T i L 0 5 f v X 5 q W S w B 7 r Y / d A u 3 s N O U v z 3 e 5 + 8 O n 3 6 n Z / 6 z t n v 9 W Z 3 / y e / e P Y T r w + + + u L 9 O r y F n T x n 6 / h + Y N / L H n 7 x 5 N X Z 6 6 d f P b 3 3 8 s v d + w c / + e W L B 6 9 o H e f F V 6 / e q 8 t b 2 8 P v / G 4 P H r w X Z L F W m 0 H / 3 u 8 F 8 f W X r 2 j l g 5 Z L b h C R 9 4 P 6 7 b P T V 8 e v T r 7 9 + / x s g m Y z S 0 u + t H J 3 + s 0 Y 8 B f k + 3 x + f K M m f 0 + M v 0 m D A w b 4 6 v n x N 4 n e 0 1 d n t J D 3 9 M v v v p A V 4 x c / + Y 1 g + u 2 z z 7 / 9 n P 7 / R l a j 3 3 z 1 6 p R W n r 9 4 8 k 0 5 c D T v p 6 T h T 0 5 / / 9 / r 9 P f 5 R j n s 5 P n Z y y + + p H X j z U C f f f X 8 + e u z n z r 9 W r B v s J r P v g 7 s 4 6 f f + e o 1 J O K M w t P j V 6 e b u e S 2 d K Y / 3 9 D K 6 9 f x b q L c 9 u X v T 4 v n v / 9 T c o / f n P 7 + L 7 4 C Q 9 z K C X / P S X z 9 7 S + / S 8 z 8 B f v g 5 K v 8 / m L P z C f f y F h e f / W S 1 M / r 1 7 / / C 1 p h f 0 6 r z e 8 P 9 q 7 + G n E A 7 9 o V 6 d c / F 8 v m b w y W j N q r V 7 9 3 8 P f Z 0 6 P j 5 8 + J x E 9 f H X / + + x M C 9 M u X L 2 l 4 T 2 m w 6 I i n i 3 + h Y X V e j g A j a S Z K f p t m 6 e z N 7 / / F 8 c m r L z 1 Y j O Q t g N C f J 5 g O M 5 q v j 8 4 X p 8 / f W D C v v z 4 c F Z 7 f / 7 t f v v q 9 n n z 5 5 e / 1 N Q Z l K P P d J 1 D P 9 N W L r 4 + O Q e P 3 f 0 k u M f 3 x 9 G v g 8 + b b p 3 A J 3 / u 9 1 2 9 + H 4 o C v 3 q J t b v f H y r Q H 8 b O e w 3 j D T l Y r 0 n 7 f y C Y H 4 e l c y / z n + / 1 + l f h 6 1 + 9 1 + s v v v z 9 v / v q 2 B e Z 2 1 L S z m J n + L d 9 n 1 U j f e A E 5 Q M 4 3 C J z 5 j P T 0 b 0 v D 3 Z 2 P 9 1 7 e b L 3 4 P f + f Z 7 8 1 M 5 P f P l i / + H v 8 + n v / e K 9 g L 8 k K 0 a 2 7 M O m W Y H w G 1 + H W q T k 4 S O / P n v x O T E w x V E q k V 8 D 1 l e v T 0 m C 3 5 x 9 Q a a d 3 K I v S X f e V k n d D f U x I J E t Y / N D p v k I y v z x 3 e 6 n j 2 X s C O K O f u r Z F 7 / / F y c 7 u 7 / / 2 U / s 7 F D y 2 v t K m 7 3 5 f V 6 e H v 3 E O q + v z b f 8 y W N k 3 0 R k j 4 j F v b / Q 7 P P T o / 8 H t S I F d a w I A Q A = < / A p p l i c a t i o n > 
</file>

<file path=customXml/itemProps1.xml><?xml version="1.0" encoding="utf-8"?>
<ds:datastoreItem xmlns:ds="http://schemas.openxmlformats.org/officeDocument/2006/customXml" ds:itemID="{163C5097-737B-493E-B816-218C79AC97C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Balance Presupuestario</vt:lpstr>
      <vt:lpstr>Edo Analitico Ingresos</vt:lpstr>
      <vt:lpstr>Clasif. x Fuente Financiamiento</vt:lpstr>
      <vt:lpstr>Clas x Rubro</vt:lpstr>
      <vt:lpstr>Ingresos</vt:lpstr>
      <vt:lpstr>fuente1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2.- Clasificación por Fuente de Financiamiento</dc:title>
  <dc:creator>javier.ynoquio</dc:creator>
  <cp:lastModifiedBy>PC08</cp:lastModifiedBy>
  <cp:lastPrinted>2017-11-13T16:55:53Z</cp:lastPrinted>
  <dcterms:created xsi:type="dcterms:W3CDTF">2016-02-24T23:36:11Z</dcterms:created>
  <dcterms:modified xsi:type="dcterms:W3CDTF">2017-12-01T19:22:14Z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Clasif. x Fuente Financiamiento</vt:lpwstr>
  </property>
  <property fmtid="{D5CDD505-2E9C-101B-9397-08002B2CF9AE}" pid="3" name="BExAnalyzer_OldName">
    <vt:lpwstr>2.- Clasificación por Fuente de Financiamiento.xlsx</vt:lpwstr>
  </property>
</Properties>
</file>