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8\Desktop\Hacienda\Portal Finanzas Públicas\2017\IV Trim 17\"/>
    </mc:Choice>
  </mc:AlternateContent>
  <bookViews>
    <workbookView xWindow="0" yWindow="0" windowWidth="28800" windowHeight="12435" tabRatio="696"/>
  </bookViews>
  <sheets>
    <sheet name="Balance_Pres" sheetId="21" r:id="rId1"/>
    <sheet name="Ing_Detallado_LDF" sheetId="22" r:id="rId2"/>
    <sheet name="Ingre_Rubro" sheetId="19" r:id="rId3"/>
    <sheet name="Ing_Fuente_Fin" sheetId="20" r:id="rId4"/>
    <sheet name="Ingresos" sheetId="18" r:id="rId5"/>
    <sheet name="fuente1" sheetId="2" state="hidden" r:id="rId6"/>
    <sheet name="BExRepositorySheet" sheetId="4" state="veryHidden" r:id="rId7"/>
  </sheets>
  <externalReferences>
    <externalReference r:id="rId8"/>
    <externalReference r:id="rId9"/>
  </externalReferences>
  <definedNames>
    <definedName name="_xlnm.Print_Area" localSheetId="1">Ing_Detallado_LDF!$A$2:$I$87</definedName>
    <definedName name="_xlnm.Print_Area" localSheetId="3">Ing_Fuente_Fin!$A$3:$L$59</definedName>
    <definedName name="_xlnm.Print_Area" localSheetId="2">Ingre_Rubro!$A$3:$L$28</definedName>
    <definedName name="_xlnm.Print_Titles" localSheetId="0">Balance_Pres!$2:$6</definedName>
    <definedName name="_xlnm.Print_Titles" localSheetId="1">Ing_Detallado_LDF!$2:$9</definedName>
  </definedNames>
  <calcPr calcId="152511"/>
</workbook>
</file>

<file path=xl/calcChain.xml><?xml version="1.0" encoding="utf-8"?>
<calcChain xmlns="http://schemas.openxmlformats.org/spreadsheetml/2006/main">
  <c r="D20" i="22" l="1"/>
  <c r="E20" i="22"/>
  <c r="F20" i="22"/>
  <c r="G20" i="22"/>
  <c r="H20" i="22"/>
  <c r="I20" i="22"/>
  <c r="D32" i="22"/>
  <c r="E32" i="22"/>
  <c r="E45" i="22" s="1"/>
  <c r="E76" i="22" s="1"/>
  <c r="F32" i="22"/>
  <c r="G32" i="22"/>
  <c r="H32" i="22"/>
  <c r="I32" i="22"/>
  <c r="I45" i="22" s="1"/>
  <c r="I76" i="22" s="1"/>
  <c r="D39" i="22"/>
  <c r="E39" i="22"/>
  <c r="F39" i="22"/>
  <c r="G39" i="22"/>
  <c r="H39" i="22"/>
  <c r="I39" i="22"/>
  <c r="D41" i="22"/>
  <c r="E41" i="22"/>
  <c r="F41" i="22"/>
  <c r="G41" i="22"/>
  <c r="H41" i="22"/>
  <c r="I41" i="22"/>
  <c r="D45" i="22"/>
  <c r="F45" i="22"/>
  <c r="G45" i="22"/>
  <c r="H45" i="22"/>
  <c r="D51" i="22"/>
  <c r="E51" i="22"/>
  <c r="F51" i="22"/>
  <c r="G51" i="22"/>
  <c r="H51" i="22"/>
  <c r="I51" i="22"/>
  <c r="D60" i="22"/>
  <c r="D71" i="22" s="1"/>
  <c r="D76" i="22" s="1"/>
  <c r="E60" i="22"/>
  <c r="F60" i="22"/>
  <c r="G60" i="22"/>
  <c r="G71" i="22" s="1"/>
  <c r="H60" i="22"/>
  <c r="I60" i="22"/>
  <c r="E71" i="22"/>
  <c r="F71" i="22"/>
  <c r="H71" i="22"/>
  <c r="I71" i="22"/>
  <c r="D73" i="22"/>
  <c r="E73" i="22"/>
  <c r="F73" i="22"/>
  <c r="G73" i="22"/>
  <c r="H73" i="22"/>
  <c r="I73" i="22"/>
  <c r="F76" i="22"/>
  <c r="H76" i="22"/>
  <c r="D81" i="22"/>
  <c r="E81" i="22"/>
  <c r="F81" i="22"/>
  <c r="G81" i="22"/>
  <c r="H81" i="22"/>
  <c r="I81" i="22"/>
  <c r="C10" i="21"/>
  <c r="D10" i="21"/>
  <c r="D23" i="21" s="1"/>
  <c r="D25" i="21" s="1"/>
  <c r="D27" i="21" s="1"/>
  <c r="D36" i="21" s="1"/>
  <c r="E10" i="21"/>
  <c r="C15" i="21"/>
  <c r="D15" i="21"/>
  <c r="E15" i="21"/>
  <c r="E23" i="21" s="1"/>
  <c r="E25" i="21" s="1"/>
  <c r="E27" i="21" s="1"/>
  <c r="E36" i="21" s="1"/>
  <c r="C19" i="21"/>
  <c r="D19" i="21"/>
  <c r="E19" i="21"/>
  <c r="C23" i="21"/>
  <c r="C25" i="21" s="1"/>
  <c r="C27" i="21" s="1"/>
  <c r="C36" i="21" s="1"/>
  <c r="C32" i="21"/>
  <c r="D32" i="21"/>
  <c r="E32" i="21"/>
  <c r="C42" i="21"/>
  <c r="D42" i="21"/>
  <c r="D49" i="21" s="1"/>
  <c r="E42" i="21"/>
  <c r="C45" i="21"/>
  <c r="D45" i="21"/>
  <c r="E45" i="21"/>
  <c r="E49" i="21" s="1"/>
  <c r="C49" i="21"/>
  <c r="C57" i="21"/>
  <c r="C65" i="21" s="1"/>
  <c r="C67" i="21" s="1"/>
  <c r="D57" i="21"/>
  <c r="E57" i="21"/>
  <c r="D65" i="21"/>
  <c r="D67" i="21" s="1"/>
  <c r="E65" i="21"/>
  <c r="E67" i="21"/>
  <c r="C75" i="21"/>
  <c r="D75" i="21"/>
  <c r="E75" i="21"/>
  <c r="C83" i="21"/>
  <c r="C85" i="21" s="1"/>
  <c r="D83" i="21"/>
  <c r="E83" i="21"/>
  <c r="D85" i="21"/>
  <c r="E85" i="21"/>
  <c r="G76" i="22" l="1"/>
  <c r="D323" i="18"/>
  <c r="E322" i="18"/>
  <c r="D322" i="18"/>
  <c r="E321" i="18"/>
  <c r="D321" i="18"/>
  <c r="E320" i="18"/>
  <c r="D320" i="18"/>
  <c r="E319" i="18"/>
  <c r="D319" i="18"/>
  <c r="C319" i="18"/>
  <c r="B319" i="18"/>
  <c r="E318" i="18"/>
  <c r="E18" i="18" s="1"/>
  <c r="D318" i="18"/>
  <c r="C318" i="18"/>
  <c r="B318" i="18"/>
  <c r="E314" i="18"/>
  <c r="D314" i="18"/>
  <c r="D313" i="18" s="1"/>
  <c r="C313" i="18"/>
  <c r="E313" i="18" s="1"/>
  <c r="B313" i="18"/>
  <c r="D312" i="18"/>
  <c r="D311" i="18"/>
  <c r="D310" i="18"/>
  <c r="E309" i="18"/>
  <c r="D309" i="18"/>
  <c r="D308" i="18"/>
  <c r="E307" i="18"/>
  <c r="D307" i="18"/>
  <c r="D306" i="18"/>
  <c r="E305" i="18"/>
  <c r="D305" i="18"/>
  <c r="D304" i="18"/>
  <c r="E303" i="18"/>
  <c r="D303" i="18"/>
  <c r="D302" i="18"/>
  <c r="D301" i="18"/>
  <c r="D300" i="18"/>
  <c r="D299" i="18"/>
  <c r="D298" i="18"/>
  <c r="D297" i="18"/>
  <c r="E296" i="18"/>
  <c r="D296" i="18"/>
  <c r="D295" i="18"/>
  <c r="D294" i="18"/>
  <c r="E293" i="18"/>
  <c r="D293" i="18"/>
  <c r="E292" i="18"/>
  <c r="D292" i="18"/>
  <c r="D291" i="18"/>
  <c r="D289" i="18"/>
  <c r="D288" i="18"/>
  <c r="E287" i="18"/>
  <c r="D287" i="18"/>
  <c r="E286" i="18"/>
  <c r="D286" i="18"/>
  <c r="E285" i="18"/>
  <c r="D285" i="18"/>
  <c r="D284" i="18" s="1"/>
  <c r="C284" i="18"/>
  <c r="E284" i="18" s="1"/>
  <c r="B284" i="18"/>
  <c r="D283" i="18"/>
  <c r="E282" i="18"/>
  <c r="D281" i="18"/>
  <c r="C281" i="18"/>
  <c r="B281" i="18"/>
  <c r="E281" i="18" s="1"/>
  <c r="E280" i="18"/>
  <c r="D280" i="18"/>
  <c r="D279" i="18" s="1"/>
  <c r="C279" i="18"/>
  <c r="E279" i="18" s="1"/>
  <c r="B279" i="18"/>
  <c r="D278" i="18"/>
  <c r="E277" i="18"/>
  <c r="D277" i="18"/>
  <c r="E276" i="18"/>
  <c r="D276" i="18"/>
  <c r="E275" i="18"/>
  <c r="D275" i="18"/>
  <c r="D274" i="18" s="1"/>
  <c r="C274" i="18"/>
  <c r="E274" i="18" s="1"/>
  <c r="B274" i="18"/>
  <c r="D273" i="18"/>
  <c r="D272" i="18"/>
  <c r="D271" i="18"/>
  <c r="D270" i="18"/>
  <c r="D269" i="18"/>
  <c r="D268" i="18"/>
  <c r="E267" i="18"/>
  <c r="D267" i="18"/>
  <c r="E266" i="18"/>
  <c r="D266" i="18"/>
  <c r="E265" i="18"/>
  <c r="D265" i="18"/>
  <c r="E264" i="18"/>
  <c r="D264" i="18"/>
  <c r="E263" i="18"/>
  <c r="D263" i="18"/>
  <c r="E262" i="18"/>
  <c r="D262" i="18"/>
  <c r="E261" i="18"/>
  <c r="D261" i="18"/>
  <c r="E260" i="18"/>
  <c r="D260" i="18"/>
  <c r="E259" i="18"/>
  <c r="D259" i="18"/>
  <c r="E258" i="18"/>
  <c r="D258" i="18"/>
  <c r="E257" i="18"/>
  <c r="D257" i="18"/>
  <c r="E256" i="18"/>
  <c r="D256" i="18"/>
  <c r="E255" i="18"/>
  <c r="D255" i="18"/>
  <c r="E254" i="18"/>
  <c r="D254" i="18"/>
  <c r="E253" i="18"/>
  <c r="D253" i="18"/>
  <c r="E252" i="18"/>
  <c r="D252" i="18"/>
  <c r="E251" i="18"/>
  <c r="D251" i="18"/>
  <c r="E250" i="18"/>
  <c r="D250" i="18"/>
  <c r="E249" i="18"/>
  <c r="D249" i="18"/>
  <c r="E248" i="18"/>
  <c r="D248" i="18"/>
  <c r="E247" i="18"/>
  <c r="D247" i="18"/>
  <c r="E246" i="18"/>
  <c r="D246" i="18"/>
  <c r="E245" i="18"/>
  <c r="D245" i="18"/>
  <c r="E244" i="18"/>
  <c r="D244" i="18"/>
  <c r="E243" i="18"/>
  <c r="D243" i="18"/>
  <c r="E242" i="18"/>
  <c r="D242" i="18"/>
  <c r="E241" i="18"/>
  <c r="D241" i="18"/>
  <c r="E240" i="18"/>
  <c r="D240" i="18"/>
  <c r="E239" i="18"/>
  <c r="D239" i="18"/>
  <c r="E238" i="18"/>
  <c r="D238" i="18"/>
  <c r="E237" i="18"/>
  <c r="D237" i="18"/>
  <c r="E236" i="18"/>
  <c r="D236" i="18"/>
  <c r="E235" i="18"/>
  <c r="D235" i="18"/>
  <c r="E234" i="18"/>
  <c r="D234" i="18"/>
  <c r="E233" i="18"/>
  <c r="D233" i="18"/>
  <c r="D232" i="18"/>
  <c r="E231" i="18"/>
  <c r="D231" i="18"/>
  <c r="E230" i="18"/>
  <c r="D230" i="18"/>
  <c r="E228" i="18"/>
  <c r="D228" i="18"/>
  <c r="E227" i="18"/>
  <c r="D227" i="18"/>
  <c r="E226" i="18"/>
  <c r="D226" i="18"/>
  <c r="E225" i="18"/>
  <c r="D225" i="18"/>
  <c r="E224" i="18"/>
  <c r="D224" i="18"/>
  <c r="E223" i="18"/>
  <c r="D223" i="18"/>
  <c r="E222" i="18"/>
  <c r="D222" i="18"/>
  <c r="E221" i="18"/>
  <c r="D221" i="18"/>
  <c r="E220" i="18"/>
  <c r="D220" i="18"/>
  <c r="C219" i="18"/>
  <c r="E219" i="18" s="1"/>
  <c r="B219" i="18"/>
  <c r="E213" i="18"/>
  <c r="D213" i="18"/>
  <c r="D212" i="18" s="1"/>
  <c r="C212" i="18"/>
  <c r="E212" i="18" s="1"/>
  <c r="B212" i="18"/>
  <c r="E210" i="18"/>
  <c r="D210" i="18"/>
  <c r="E209" i="18"/>
  <c r="D209" i="18"/>
  <c r="E208" i="18"/>
  <c r="D208" i="18"/>
  <c r="C207" i="18"/>
  <c r="E207" i="18" s="1"/>
  <c r="B207" i="18"/>
  <c r="E206" i="18"/>
  <c r="D206" i="18"/>
  <c r="E205" i="18"/>
  <c r="D205" i="18"/>
  <c r="E204" i="18"/>
  <c r="D204" i="18"/>
  <c r="E203" i="18"/>
  <c r="D203" i="18"/>
  <c r="E202" i="18"/>
  <c r="D202" i="18"/>
  <c r="E201" i="18"/>
  <c r="D201" i="18"/>
  <c r="E200" i="18"/>
  <c r="D200" i="18"/>
  <c r="E199" i="18"/>
  <c r="D199" i="18"/>
  <c r="D198" i="18" s="1"/>
  <c r="C198" i="18"/>
  <c r="E198" i="18" s="1"/>
  <c r="B198" i="18"/>
  <c r="E196" i="18"/>
  <c r="D196" i="18"/>
  <c r="E195" i="18"/>
  <c r="D195" i="18"/>
  <c r="E194" i="18"/>
  <c r="D194" i="18"/>
  <c r="D193" i="18" s="1"/>
  <c r="C193" i="18"/>
  <c r="E193" i="18" s="1"/>
  <c r="B193" i="18"/>
  <c r="E192" i="18"/>
  <c r="D192" i="18"/>
  <c r="E191" i="18"/>
  <c r="D191" i="18"/>
  <c r="E190" i="18"/>
  <c r="D190" i="18"/>
  <c r="E189" i="18"/>
  <c r="D189" i="18"/>
  <c r="E188" i="18"/>
  <c r="D188" i="18"/>
  <c r="C187" i="18"/>
  <c r="E187" i="18" s="1"/>
  <c r="B187" i="18"/>
  <c r="B186" i="18" s="1"/>
  <c r="E184" i="18"/>
  <c r="D184" i="18"/>
  <c r="E183" i="18"/>
  <c r="D183" i="18"/>
  <c r="E182" i="18"/>
  <c r="D182" i="18"/>
  <c r="E181" i="18"/>
  <c r="D181" i="18"/>
  <c r="E180" i="18"/>
  <c r="D180" i="18"/>
  <c r="D179" i="18" s="1"/>
  <c r="C179" i="18"/>
  <c r="B179" i="18"/>
  <c r="E179" i="18" s="1"/>
  <c r="E174" i="18"/>
  <c r="D174" i="18"/>
  <c r="D173" i="18" s="1"/>
  <c r="D15" i="18" s="1"/>
  <c r="C173" i="18"/>
  <c r="B173" i="18"/>
  <c r="B15" i="18" s="1"/>
  <c r="E169" i="18"/>
  <c r="D169" i="18"/>
  <c r="D168" i="18"/>
  <c r="E167" i="18"/>
  <c r="D167" i="18"/>
  <c r="D166" i="18"/>
  <c r="D165" i="18"/>
  <c r="D164" i="18"/>
  <c r="D163" i="18"/>
  <c r="D162" i="18"/>
  <c r="D161" i="18"/>
  <c r="D160" i="18"/>
  <c r="D159" i="18"/>
  <c r="D158" i="18"/>
  <c r="D157" i="18"/>
  <c r="C157" i="18"/>
  <c r="E157" i="18" s="1"/>
  <c r="B157" i="18"/>
  <c r="D156" i="18"/>
  <c r="D154" i="18"/>
  <c r="D153" i="18"/>
  <c r="E152" i="18"/>
  <c r="D152" i="18"/>
  <c r="E151" i="18"/>
  <c r="D151" i="18"/>
  <c r="D150" i="18" s="1"/>
  <c r="C150" i="18"/>
  <c r="B150" i="18"/>
  <c r="D149" i="18"/>
  <c r="E148" i="18"/>
  <c r="D148" i="18"/>
  <c r="D147" i="18" s="1"/>
  <c r="C147" i="18"/>
  <c r="E147" i="18" s="1"/>
  <c r="B147" i="18"/>
  <c r="E146" i="18"/>
  <c r="D146" i="18"/>
  <c r="E145" i="18"/>
  <c r="D145" i="18"/>
  <c r="E144" i="18"/>
  <c r="D144" i="18"/>
  <c r="E143" i="18"/>
  <c r="D143" i="18"/>
  <c r="C143" i="18"/>
  <c r="B143" i="18"/>
  <c r="E142" i="18"/>
  <c r="D142" i="18"/>
  <c r="E141" i="18"/>
  <c r="D141" i="18"/>
  <c r="E140" i="18"/>
  <c r="D140" i="18"/>
  <c r="E139" i="18"/>
  <c r="D139" i="18"/>
  <c r="E138" i="18"/>
  <c r="D138" i="18"/>
  <c r="E137" i="18"/>
  <c r="D137" i="18"/>
  <c r="E136" i="18"/>
  <c r="D136" i="18"/>
  <c r="E135" i="18"/>
  <c r="D135" i="18"/>
  <c r="E134" i="18"/>
  <c r="D134" i="18"/>
  <c r="E133" i="18"/>
  <c r="D133" i="18"/>
  <c r="E132" i="18"/>
  <c r="D132" i="18"/>
  <c r="E131" i="18"/>
  <c r="D131" i="18"/>
  <c r="E130" i="18"/>
  <c r="D130" i="18"/>
  <c r="E129" i="18"/>
  <c r="D129" i="18"/>
  <c r="E128" i="18"/>
  <c r="D128" i="18"/>
  <c r="C127" i="18"/>
  <c r="E127" i="18" s="1"/>
  <c r="B127" i="18"/>
  <c r="D121" i="18"/>
  <c r="D120" i="18"/>
  <c r="E119" i="18"/>
  <c r="D119" i="18"/>
  <c r="E118" i="18"/>
  <c r="D118" i="18"/>
  <c r="D117" i="18" s="1"/>
  <c r="C117" i="18"/>
  <c r="E117" i="18" s="1"/>
  <c r="B117" i="18"/>
  <c r="E116" i="18"/>
  <c r="D116" i="18"/>
  <c r="E115" i="18"/>
  <c r="D115" i="18"/>
  <c r="E114" i="18"/>
  <c r="D114" i="18"/>
  <c r="D113" i="18"/>
  <c r="C112" i="18"/>
  <c r="C111" i="18" s="1"/>
  <c r="B112" i="18"/>
  <c r="B111" i="18" s="1"/>
  <c r="B110" i="18" s="1"/>
  <c r="B12" i="18" s="1"/>
  <c r="E106" i="18"/>
  <c r="D106" i="18"/>
  <c r="E105" i="18"/>
  <c r="D105" i="18"/>
  <c r="E104" i="18"/>
  <c r="D104" i="18"/>
  <c r="E103" i="18"/>
  <c r="D103" i="18"/>
  <c r="D102" i="18" s="1"/>
  <c r="C102" i="18"/>
  <c r="E102" i="18" s="1"/>
  <c r="B102" i="18"/>
  <c r="E101" i="18"/>
  <c r="D101" i="18"/>
  <c r="E100" i="18"/>
  <c r="D100" i="18"/>
  <c r="E99" i="18"/>
  <c r="D99" i="18"/>
  <c r="E98" i="18"/>
  <c r="D98" i="18"/>
  <c r="E97" i="18"/>
  <c r="D97" i="18"/>
  <c r="E96" i="18"/>
  <c r="D96" i="18"/>
  <c r="E95" i="18"/>
  <c r="D95" i="18"/>
  <c r="E94" i="18"/>
  <c r="D94" i="18"/>
  <c r="D93" i="18"/>
  <c r="E92" i="18"/>
  <c r="D92" i="18"/>
  <c r="C91" i="18"/>
  <c r="B91" i="18"/>
  <c r="B47" i="18" s="1"/>
  <c r="E90" i="18"/>
  <c r="D90" i="18"/>
  <c r="E89" i="18"/>
  <c r="D89" i="18"/>
  <c r="E88" i="18"/>
  <c r="D88" i="18"/>
  <c r="D87" i="18"/>
  <c r="C87" i="18"/>
  <c r="E87" i="18" s="1"/>
  <c r="B87" i="18"/>
  <c r="E86" i="18"/>
  <c r="D86" i="18"/>
  <c r="E85" i="18"/>
  <c r="D85" i="18"/>
  <c r="E84" i="18"/>
  <c r="D84" i="18"/>
  <c r="E83" i="18"/>
  <c r="D83" i="18"/>
  <c r="D82" i="18"/>
  <c r="C82" i="18"/>
  <c r="E82" i="18" s="1"/>
  <c r="B82" i="18"/>
  <c r="E81" i="18"/>
  <c r="D81" i="18"/>
  <c r="E80" i="18"/>
  <c r="D80" i="18"/>
  <c r="E79" i="18"/>
  <c r="D79" i="18"/>
  <c r="C78" i="18"/>
  <c r="E78" i="18" s="1"/>
  <c r="E77" i="18"/>
  <c r="D77" i="18"/>
  <c r="E76" i="18"/>
  <c r="D76" i="18"/>
  <c r="E75" i="18"/>
  <c r="D75" i="18"/>
  <c r="C74" i="18"/>
  <c r="E74" i="18" s="1"/>
  <c r="B74" i="18"/>
  <c r="E73" i="18"/>
  <c r="D73" i="18"/>
  <c r="E72" i="18"/>
  <c r="D72" i="18"/>
  <c r="E71" i="18"/>
  <c r="D71" i="18"/>
  <c r="E70" i="18"/>
  <c r="C70" i="18"/>
  <c r="B70" i="18"/>
  <c r="E69" i="18"/>
  <c r="D69" i="18"/>
  <c r="E68" i="18"/>
  <c r="D68" i="18"/>
  <c r="E67" i="18"/>
  <c r="D67" i="18"/>
  <c r="E66" i="18"/>
  <c r="D66" i="18"/>
  <c r="C64" i="18"/>
  <c r="E64" i="18" s="1"/>
  <c r="B64" i="18"/>
  <c r="E56" i="18"/>
  <c r="D56" i="18"/>
  <c r="D53" i="18"/>
  <c r="C53" i="18"/>
  <c r="E53" i="18" s="1"/>
  <c r="B53" i="18"/>
  <c r="E52" i="18"/>
  <c r="D52" i="18"/>
  <c r="E51" i="18"/>
  <c r="D51" i="18"/>
  <c r="E50" i="18"/>
  <c r="D50" i="18"/>
  <c r="E49" i="18"/>
  <c r="D49" i="18"/>
  <c r="D48" i="18" s="1"/>
  <c r="C48" i="18"/>
  <c r="C47" i="18" s="1"/>
  <c r="E47" i="18" s="1"/>
  <c r="B48" i="18"/>
  <c r="E46" i="18"/>
  <c r="D46" i="18"/>
  <c r="E45" i="18"/>
  <c r="D45" i="18"/>
  <c r="D44" i="18" s="1"/>
  <c r="C44" i="18"/>
  <c r="B44" i="18"/>
  <c r="D39" i="18"/>
  <c r="E38" i="18"/>
  <c r="D38" i="18"/>
  <c r="E37" i="18"/>
  <c r="D37" i="18"/>
  <c r="E36" i="18"/>
  <c r="D36" i="18"/>
  <c r="E35" i="18"/>
  <c r="D35" i="18"/>
  <c r="E34" i="18"/>
  <c r="D34" i="18"/>
  <c r="E33" i="18"/>
  <c r="D33" i="18"/>
  <c r="E32" i="18"/>
  <c r="D32" i="18"/>
  <c r="C31" i="18"/>
  <c r="E31" i="18" s="1"/>
  <c r="B31" i="18"/>
  <c r="B24" i="18" s="1"/>
  <c r="B10" i="18" s="1"/>
  <c r="E30" i="18"/>
  <c r="D30" i="18"/>
  <c r="E29" i="18"/>
  <c r="D29" i="18"/>
  <c r="E28" i="18"/>
  <c r="D28" i="18"/>
  <c r="E27" i="18"/>
  <c r="D27" i="18"/>
  <c r="E26" i="18"/>
  <c r="D26" i="18"/>
  <c r="E25" i="18"/>
  <c r="D25" i="18"/>
  <c r="D18" i="18"/>
  <c r="C18" i="18"/>
  <c r="B18" i="18"/>
  <c r="C15" i="18"/>
  <c r="A6" i="20"/>
  <c r="G1" i="20"/>
  <c r="J1" i="20" s="1"/>
  <c r="F1" i="20"/>
  <c r="H1" i="20" s="1"/>
  <c r="A6" i="19"/>
  <c r="H1" i="19"/>
  <c r="G1" i="19"/>
  <c r="F1" i="19"/>
  <c r="D31" i="18" l="1"/>
  <c r="D70" i="18"/>
  <c r="E91" i="18"/>
  <c r="D112" i="18"/>
  <c r="D111" i="18" s="1"/>
  <c r="D110" i="18" s="1"/>
  <c r="D12" i="18" s="1"/>
  <c r="B126" i="18"/>
  <c r="B125" i="18" s="1"/>
  <c r="B13" i="18" s="1"/>
  <c r="E150" i="18"/>
  <c r="E173" i="18"/>
  <c r="E15" i="18" s="1"/>
  <c r="D187" i="18"/>
  <c r="D186" i="18" s="1"/>
  <c r="D178" i="18" s="1"/>
  <c r="D16" i="18" s="1"/>
  <c r="D207" i="18"/>
  <c r="B218" i="18"/>
  <c r="B217" i="18" s="1"/>
  <c r="B17" i="18" s="1"/>
  <c r="B43" i="18"/>
  <c r="B11" i="18" s="1"/>
  <c r="C24" i="18"/>
  <c r="C10" i="18" s="1"/>
  <c r="D64" i="18"/>
  <c r="D91" i="18"/>
  <c r="C186" i="18"/>
  <c r="C178" i="18" s="1"/>
  <c r="D24" i="18"/>
  <c r="D10" i="18" s="1"/>
  <c r="D127" i="18"/>
  <c r="D126" i="18" s="1"/>
  <c r="D125" i="18" s="1"/>
  <c r="D13" i="18" s="1"/>
  <c r="B178" i="18"/>
  <c r="B16" i="18" s="1"/>
  <c r="D219" i="18"/>
  <c r="D218" i="18" s="1"/>
  <c r="D217" i="18" s="1"/>
  <c r="D17" i="18" s="1"/>
  <c r="C43" i="18"/>
  <c r="E186" i="18"/>
  <c r="B14" i="18"/>
  <c r="B19" i="18" s="1"/>
  <c r="E111" i="18"/>
  <c r="C110" i="18"/>
  <c r="C126" i="18"/>
  <c r="C218" i="18"/>
  <c r="E44" i="18"/>
  <c r="E48" i="18"/>
  <c r="D78" i="18"/>
  <c r="D74" i="18" s="1"/>
  <c r="D47" i="18" s="1"/>
  <c r="D43" i="18" s="1"/>
  <c r="D11" i="18" s="1"/>
  <c r="D14" i="18" s="1"/>
  <c r="E112" i="18"/>
  <c r="I1" i="20"/>
  <c r="A5" i="20" s="1"/>
  <c r="I1" i="19"/>
  <c r="J1" i="19"/>
  <c r="A5" i="19" s="1"/>
  <c r="D19" i="18" l="1"/>
  <c r="E24" i="18"/>
  <c r="E10" i="18" s="1"/>
  <c r="E126" i="18"/>
  <c r="C125" i="18"/>
  <c r="E178" i="18"/>
  <c r="E16" i="18" s="1"/>
  <c r="C16" i="18"/>
  <c r="C12" i="18"/>
  <c r="E110" i="18"/>
  <c r="E12" i="18" s="1"/>
  <c r="E218" i="18"/>
  <c r="C217" i="18"/>
  <c r="C11" i="18"/>
  <c r="E43" i="18"/>
  <c r="E11" i="18" s="1"/>
  <c r="E217" i="18" l="1"/>
  <c r="E17" i="18" s="1"/>
  <c r="C17" i="18"/>
  <c r="E125" i="18"/>
  <c r="E13" i="18" s="1"/>
  <c r="C13" i="18"/>
  <c r="C14" i="18" s="1"/>
  <c r="E14" i="18" l="1"/>
  <c r="C19" i="18"/>
  <c r="E19" i="18" s="1"/>
  <c r="AU63" i="2" l="1"/>
  <c r="AQ63" i="2"/>
  <c r="AM63" i="2"/>
  <c r="AI63" i="2"/>
  <c r="AE63" i="2"/>
  <c r="AA63" i="2"/>
  <c r="W63" i="2"/>
  <c r="S63" i="2"/>
  <c r="O63" i="2"/>
  <c r="K63" i="2"/>
  <c r="G63" i="2"/>
  <c r="C63" i="2"/>
  <c r="AR62" i="2"/>
  <c r="AN62" i="2"/>
  <c r="AJ62" i="2"/>
  <c r="AF62" i="2"/>
  <c r="AB62" i="2"/>
  <c r="X62" i="2"/>
  <c r="T62" i="2"/>
  <c r="P62" i="2"/>
  <c r="L62" i="2"/>
  <c r="H62" i="2"/>
  <c r="D62" i="2"/>
  <c r="AS61" i="2"/>
  <c r="AO61" i="2"/>
  <c r="AK61" i="2"/>
  <c r="AG61" i="2"/>
  <c r="AC61" i="2"/>
  <c r="Y61" i="2"/>
  <c r="U61" i="2"/>
  <c r="Q61" i="2"/>
  <c r="M61" i="2"/>
  <c r="I61" i="2"/>
  <c r="E61" i="2"/>
  <c r="AT60" i="2"/>
  <c r="AP60" i="2"/>
  <c r="AL60" i="2"/>
  <c r="AH60" i="2"/>
  <c r="AD60" i="2"/>
  <c r="Z60" i="2"/>
  <c r="V60" i="2"/>
  <c r="R60" i="2"/>
  <c r="N60" i="2"/>
  <c r="J60" i="2"/>
  <c r="F60" i="2"/>
  <c r="AU59" i="2"/>
  <c r="AQ59" i="2"/>
  <c r="AM59" i="2"/>
  <c r="AI59" i="2"/>
  <c r="AE59" i="2"/>
  <c r="AA59" i="2"/>
  <c r="W59" i="2"/>
  <c r="S59" i="2"/>
  <c r="O59" i="2"/>
  <c r="K59" i="2"/>
  <c r="G59" i="2"/>
  <c r="C59" i="2"/>
  <c r="AR58" i="2"/>
  <c r="AN58" i="2"/>
  <c r="AJ58" i="2"/>
  <c r="AF58" i="2"/>
  <c r="AB58" i="2"/>
  <c r="X58" i="2"/>
  <c r="T58" i="2"/>
  <c r="P58" i="2"/>
  <c r="L58" i="2"/>
  <c r="H58" i="2"/>
  <c r="D58" i="2"/>
  <c r="AS57" i="2"/>
  <c r="AO57" i="2"/>
  <c r="AK57" i="2"/>
  <c r="AG57" i="2"/>
  <c r="AC57" i="2"/>
  <c r="Y57" i="2"/>
  <c r="U57" i="2"/>
  <c r="Q57" i="2"/>
  <c r="M57" i="2"/>
  <c r="I57" i="2"/>
  <c r="E57" i="2"/>
  <c r="AT56" i="2"/>
  <c r="AP56" i="2"/>
  <c r="AL56" i="2"/>
  <c r="AH56" i="2"/>
  <c r="AD56" i="2"/>
  <c r="Z56" i="2"/>
  <c r="V56" i="2"/>
  <c r="R56" i="2"/>
  <c r="N56" i="2"/>
  <c r="J56" i="2"/>
  <c r="F56" i="2"/>
  <c r="AU55" i="2"/>
  <c r="AQ55" i="2"/>
  <c r="AM55" i="2"/>
  <c r="AI55" i="2"/>
  <c r="AE55" i="2"/>
  <c r="AA55" i="2"/>
  <c r="W55" i="2"/>
  <c r="S55" i="2"/>
  <c r="O55" i="2"/>
  <c r="K55" i="2"/>
  <c r="G55" i="2"/>
  <c r="C55" i="2"/>
  <c r="AR54" i="2"/>
  <c r="AN54" i="2"/>
  <c r="AJ54" i="2"/>
  <c r="AF54" i="2"/>
  <c r="AB54" i="2"/>
  <c r="X54" i="2"/>
  <c r="T54" i="2"/>
  <c r="P54" i="2"/>
  <c r="L54" i="2"/>
  <c r="H54" i="2"/>
  <c r="D54" i="2"/>
  <c r="AS53" i="2"/>
  <c r="AO53" i="2"/>
  <c r="AK53" i="2"/>
  <c r="AG53" i="2"/>
  <c r="AC53" i="2"/>
  <c r="Y53" i="2"/>
  <c r="U53" i="2"/>
  <c r="Q53" i="2"/>
  <c r="M53" i="2"/>
  <c r="I53" i="2"/>
  <c r="E53" i="2"/>
  <c r="AT63" i="2"/>
  <c r="AP63" i="2"/>
  <c r="AL63" i="2"/>
  <c r="AH63" i="2"/>
  <c r="AD63" i="2"/>
  <c r="Z63" i="2"/>
  <c r="V63" i="2"/>
  <c r="R63" i="2"/>
  <c r="N63" i="2"/>
  <c r="J63" i="2"/>
  <c r="F63" i="2"/>
  <c r="AU62" i="2"/>
  <c r="AQ62" i="2"/>
  <c r="AM62" i="2"/>
  <c r="AI62" i="2"/>
  <c r="AE62" i="2"/>
  <c r="AA62" i="2"/>
  <c r="W62" i="2"/>
  <c r="S62" i="2"/>
  <c r="O62" i="2"/>
  <c r="K62" i="2"/>
  <c r="G62" i="2"/>
  <c r="C62" i="2"/>
  <c r="AR61" i="2"/>
  <c r="AN61" i="2"/>
  <c r="AJ61" i="2"/>
  <c r="AF61" i="2"/>
  <c r="AB61" i="2"/>
  <c r="X61" i="2"/>
  <c r="T61" i="2"/>
  <c r="P61" i="2"/>
  <c r="L61" i="2"/>
  <c r="H61" i="2"/>
  <c r="D61" i="2"/>
  <c r="AS60" i="2"/>
  <c r="AO60" i="2"/>
  <c r="AK60" i="2"/>
  <c r="AG60" i="2"/>
  <c r="AC60" i="2"/>
  <c r="Y60" i="2"/>
  <c r="U60" i="2"/>
  <c r="Q60" i="2"/>
  <c r="M60" i="2"/>
  <c r="I60" i="2"/>
  <c r="E60" i="2"/>
  <c r="AT59" i="2"/>
  <c r="AP59" i="2"/>
  <c r="AL59" i="2"/>
  <c r="AH59" i="2"/>
  <c r="AD59" i="2"/>
  <c r="Z59" i="2"/>
  <c r="V59" i="2"/>
  <c r="R59" i="2"/>
  <c r="N59" i="2"/>
  <c r="J59" i="2"/>
  <c r="F59" i="2"/>
  <c r="AU58" i="2"/>
  <c r="AQ58" i="2"/>
  <c r="AM58" i="2"/>
  <c r="AI58" i="2"/>
  <c r="AE58" i="2"/>
  <c r="AA58" i="2"/>
  <c r="W58" i="2"/>
  <c r="S58" i="2"/>
  <c r="O58" i="2"/>
  <c r="K58" i="2"/>
  <c r="G58" i="2"/>
  <c r="C58" i="2"/>
  <c r="AR57" i="2"/>
  <c r="AN57" i="2"/>
  <c r="AJ57" i="2"/>
  <c r="AF57" i="2"/>
  <c r="AB57" i="2"/>
  <c r="X57" i="2"/>
  <c r="T57" i="2"/>
  <c r="P57" i="2"/>
  <c r="L57" i="2"/>
  <c r="H57" i="2"/>
  <c r="D57" i="2"/>
  <c r="AS56" i="2"/>
  <c r="AO56" i="2"/>
  <c r="AK56" i="2"/>
  <c r="AG56" i="2"/>
  <c r="AC56" i="2"/>
  <c r="Y56" i="2"/>
  <c r="U56" i="2"/>
  <c r="Q56" i="2"/>
  <c r="M56" i="2"/>
  <c r="AS63" i="2"/>
  <c r="AO63" i="2"/>
  <c r="AK63" i="2"/>
  <c r="AG63" i="2"/>
  <c r="AC63" i="2"/>
  <c r="Y63" i="2"/>
  <c r="U63" i="2"/>
  <c r="Q63" i="2"/>
  <c r="M63" i="2"/>
  <c r="I63" i="2"/>
  <c r="E63" i="2"/>
  <c r="AT62" i="2"/>
  <c r="AP62" i="2"/>
  <c r="AL62" i="2"/>
  <c r="AH62" i="2"/>
  <c r="AD62" i="2"/>
  <c r="Z62" i="2"/>
  <c r="V62" i="2"/>
  <c r="R62" i="2"/>
  <c r="N62" i="2"/>
  <c r="J62" i="2"/>
  <c r="F62" i="2"/>
  <c r="AU61" i="2"/>
  <c r="AQ61" i="2"/>
  <c r="AM61" i="2"/>
  <c r="AI61" i="2"/>
  <c r="AE61" i="2"/>
  <c r="AA61" i="2"/>
  <c r="W61" i="2"/>
  <c r="S61" i="2"/>
  <c r="O61" i="2"/>
  <c r="K61" i="2"/>
  <c r="G61" i="2"/>
  <c r="C61" i="2"/>
  <c r="AR60" i="2"/>
  <c r="AN60" i="2"/>
  <c r="AJ60" i="2"/>
  <c r="AF60" i="2"/>
  <c r="AB60" i="2"/>
  <c r="X60" i="2"/>
  <c r="T60" i="2"/>
  <c r="P60" i="2"/>
  <c r="L60" i="2"/>
  <c r="H60" i="2"/>
  <c r="D60" i="2"/>
  <c r="AS59" i="2"/>
  <c r="AO59" i="2"/>
  <c r="AK59" i="2"/>
  <c r="AG59" i="2"/>
  <c r="AC59" i="2"/>
  <c r="Y59" i="2"/>
  <c r="U59" i="2"/>
  <c r="Q59" i="2"/>
  <c r="M59" i="2"/>
  <c r="I59" i="2"/>
  <c r="E59" i="2"/>
  <c r="AT58" i="2"/>
  <c r="AP58" i="2"/>
  <c r="AL58" i="2"/>
  <c r="AH58" i="2"/>
  <c r="AD58" i="2"/>
  <c r="Z58" i="2"/>
  <c r="V58" i="2"/>
  <c r="R58" i="2"/>
  <c r="N58" i="2"/>
  <c r="J58" i="2"/>
  <c r="F58" i="2"/>
  <c r="AU57" i="2"/>
  <c r="AQ57" i="2"/>
  <c r="AM57" i="2"/>
  <c r="AI57" i="2"/>
  <c r="AE57" i="2"/>
  <c r="AA57" i="2"/>
  <c r="W57" i="2"/>
  <c r="S57" i="2"/>
  <c r="O57" i="2"/>
  <c r="K57" i="2"/>
  <c r="G57" i="2"/>
  <c r="C57" i="2"/>
  <c r="AR56" i="2"/>
  <c r="AN56" i="2"/>
  <c r="AJ56" i="2"/>
  <c r="AF56" i="2"/>
  <c r="AB56" i="2"/>
  <c r="X56" i="2"/>
  <c r="T56" i="2"/>
  <c r="P56" i="2"/>
  <c r="L56" i="2"/>
  <c r="H56" i="2"/>
  <c r="D56" i="2"/>
  <c r="AS55" i="2"/>
  <c r="AO55" i="2"/>
  <c r="AK55" i="2"/>
  <c r="AG55" i="2"/>
  <c r="AC55" i="2"/>
  <c r="Y55" i="2"/>
  <c r="U55" i="2"/>
  <c r="Q55" i="2"/>
  <c r="M55" i="2"/>
  <c r="I55" i="2"/>
  <c r="E55" i="2"/>
  <c r="AT54" i="2"/>
  <c r="AP54" i="2"/>
  <c r="AL54" i="2"/>
  <c r="AH54" i="2"/>
  <c r="AD54" i="2"/>
  <c r="Z54" i="2"/>
  <c r="V54" i="2"/>
  <c r="R54" i="2"/>
  <c r="N54" i="2"/>
  <c r="J54" i="2"/>
  <c r="F54" i="2"/>
  <c r="AU53" i="2"/>
  <c r="AQ53" i="2"/>
  <c r="AM53" i="2"/>
  <c r="AI53" i="2"/>
  <c r="AE53" i="2"/>
  <c r="AA53" i="2"/>
  <c r="W53" i="2"/>
  <c r="S53" i="2"/>
  <c r="O53" i="2"/>
  <c r="K53" i="2"/>
  <c r="G53" i="2"/>
  <c r="C53" i="2"/>
  <c r="AR52" i="2"/>
  <c r="AN52" i="2"/>
  <c r="AJ52" i="2"/>
  <c r="AF52" i="2"/>
  <c r="AB52" i="2"/>
  <c r="X52" i="2"/>
  <c r="T52" i="2"/>
  <c r="P52" i="2"/>
  <c r="L52" i="2"/>
  <c r="H52" i="2"/>
  <c r="D52" i="2"/>
  <c r="AS51" i="2"/>
  <c r="AO51" i="2"/>
  <c r="AK51" i="2"/>
  <c r="AG51" i="2"/>
  <c r="AC51" i="2"/>
  <c r="Y51" i="2"/>
  <c r="U51" i="2"/>
  <c r="Q51" i="2"/>
  <c r="M51" i="2"/>
  <c r="I51" i="2"/>
  <c r="E51" i="2"/>
  <c r="AT50" i="2"/>
  <c r="AP50" i="2"/>
  <c r="AL50" i="2"/>
  <c r="AH50" i="2"/>
  <c r="AD50" i="2"/>
  <c r="Z50" i="2"/>
  <c r="V50" i="2"/>
  <c r="R50" i="2"/>
  <c r="N50" i="2"/>
  <c r="J50" i="2"/>
  <c r="F50" i="2"/>
  <c r="AU49" i="2"/>
  <c r="AQ49" i="2"/>
  <c r="AM49" i="2"/>
  <c r="AI49" i="2"/>
  <c r="AE49" i="2"/>
  <c r="AA49" i="2"/>
  <c r="W49" i="2"/>
  <c r="S49" i="2"/>
  <c r="O49" i="2"/>
  <c r="K49" i="2"/>
  <c r="G49" i="2"/>
  <c r="C49" i="2"/>
  <c r="AR48" i="2"/>
  <c r="AN48" i="2"/>
  <c r="AJ48" i="2"/>
  <c r="AF48" i="2"/>
  <c r="AB48" i="2"/>
  <c r="X48" i="2"/>
  <c r="T48" i="2"/>
  <c r="P48" i="2"/>
  <c r="L48" i="2"/>
  <c r="H48" i="2"/>
  <c r="D48" i="2"/>
  <c r="AS47" i="2"/>
  <c r="AR63" i="2"/>
  <c r="AN63" i="2"/>
  <c r="AJ63" i="2"/>
  <c r="AF63" i="2"/>
  <c r="AB63" i="2"/>
  <c r="X63" i="2"/>
  <c r="T63" i="2"/>
  <c r="P63" i="2"/>
  <c r="L63" i="2"/>
  <c r="H63" i="2"/>
  <c r="D63" i="2"/>
  <c r="AS62" i="2"/>
  <c r="AO62" i="2"/>
  <c r="AK62" i="2"/>
  <c r="AG62" i="2"/>
  <c r="AC62" i="2"/>
  <c r="Y62" i="2"/>
  <c r="U62" i="2"/>
  <c r="Q62" i="2"/>
  <c r="M62" i="2"/>
  <c r="I62" i="2"/>
  <c r="E62" i="2"/>
  <c r="AT61" i="2"/>
  <c r="AP61" i="2"/>
  <c r="AL61" i="2"/>
  <c r="AH61" i="2"/>
  <c r="AD61" i="2"/>
  <c r="Z61" i="2"/>
  <c r="V61" i="2"/>
  <c r="R61" i="2"/>
  <c r="N61" i="2"/>
  <c r="J61" i="2"/>
  <c r="F61" i="2"/>
  <c r="AU60" i="2"/>
  <c r="AQ60" i="2"/>
  <c r="AM60" i="2"/>
  <c r="AI60" i="2"/>
  <c r="AE60" i="2"/>
  <c r="AA60" i="2"/>
  <c r="W60" i="2"/>
  <c r="S60" i="2"/>
  <c r="O60" i="2"/>
  <c r="K60" i="2"/>
  <c r="G60" i="2"/>
  <c r="C60" i="2"/>
  <c r="AR59" i="2"/>
  <c r="AN59" i="2"/>
  <c r="AJ59" i="2"/>
  <c r="AF59" i="2"/>
  <c r="AB59" i="2"/>
  <c r="X59" i="2"/>
  <c r="T59" i="2"/>
  <c r="P59" i="2"/>
  <c r="L59" i="2"/>
  <c r="H59" i="2"/>
  <c r="D59" i="2"/>
  <c r="AS58" i="2"/>
  <c r="AO58" i="2"/>
  <c r="AK58" i="2"/>
  <c r="AG58" i="2"/>
  <c r="AC58" i="2"/>
  <c r="Y58" i="2"/>
  <c r="U58" i="2"/>
  <c r="Q58" i="2"/>
  <c r="M58" i="2"/>
  <c r="I58" i="2"/>
  <c r="E58" i="2"/>
  <c r="AT57" i="2"/>
  <c r="AP57" i="2"/>
  <c r="AL57" i="2"/>
  <c r="AH57" i="2"/>
  <c r="AD57" i="2"/>
  <c r="Z57" i="2"/>
  <c r="V57" i="2"/>
  <c r="R57" i="2"/>
  <c r="N57" i="2"/>
  <c r="J57" i="2"/>
  <c r="F57" i="2"/>
  <c r="AU56" i="2"/>
  <c r="AQ56" i="2"/>
  <c r="AM56" i="2"/>
  <c r="AI56" i="2"/>
  <c r="AE56" i="2"/>
  <c r="AA56" i="2"/>
  <c r="W56" i="2"/>
  <c r="S56" i="2"/>
  <c r="O56" i="2"/>
  <c r="K56" i="2"/>
  <c r="G56" i="2"/>
  <c r="C56" i="2"/>
  <c r="AR55" i="2"/>
  <c r="AN55" i="2"/>
  <c r="AJ55" i="2"/>
  <c r="AF55" i="2"/>
  <c r="AB55" i="2"/>
  <c r="X55" i="2"/>
  <c r="T55" i="2"/>
  <c r="P55" i="2"/>
  <c r="L55" i="2"/>
  <c r="H55" i="2"/>
  <c r="D55" i="2"/>
  <c r="AS54" i="2"/>
  <c r="AO54" i="2"/>
  <c r="AK54" i="2"/>
  <c r="AG54" i="2"/>
  <c r="AC54" i="2"/>
  <c r="Y54" i="2"/>
  <c r="U54" i="2"/>
  <c r="Q54" i="2"/>
  <c r="M54" i="2"/>
  <c r="I54" i="2"/>
  <c r="E54" i="2"/>
  <c r="AT53" i="2"/>
  <c r="AP53" i="2"/>
  <c r="AL53" i="2"/>
  <c r="AH53" i="2"/>
  <c r="AD53" i="2"/>
  <c r="Z53" i="2"/>
  <c r="V53" i="2"/>
  <c r="R53" i="2"/>
  <c r="N53" i="2"/>
  <c r="J53" i="2"/>
  <c r="F53" i="2"/>
  <c r="AU52" i="2"/>
  <c r="AQ52" i="2"/>
  <c r="AM52" i="2"/>
  <c r="AI52" i="2"/>
  <c r="I56" i="2"/>
  <c r="AL55" i="2"/>
  <c r="V55" i="2"/>
  <c r="F55" i="2"/>
  <c r="AI54" i="2"/>
  <c r="S54" i="2"/>
  <c r="C54" i="2"/>
  <c r="AF53" i="2"/>
  <c r="P53" i="2"/>
  <c r="AT52" i="2"/>
  <c r="AL52" i="2"/>
  <c r="AE52" i="2"/>
  <c r="Z52" i="2"/>
  <c r="U52" i="2"/>
  <c r="O52" i="2"/>
  <c r="J52" i="2"/>
  <c r="E52" i="2"/>
  <c r="AR51" i="2"/>
  <c r="AM51" i="2"/>
  <c r="AH51" i="2"/>
  <c r="AB51" i="2"/>
  <c r="W51" i="2"/>
  <c r="R51" i="2"/>
  <c r="L51" i="2"/>
  <c r="G51" i="2"/>
  <c r="AU50" i="2"/>
  <c r="AO50" i="2"/>
  <c r="AJ50" i="2"/>
  <c r="AE50" i="2"/>
  <c r="Y50" i="2"/>
  <c r="T50" i="2"/>
  <c r="O50" i="2"/>
  <c r="I50" i="2"/>
  <c r="D50" i="2"/>
  <c r="AR49" i="2"/>
  <c r="AL49" i="2"/>
  <c r="AG49" i="2"/>
  <c r="AB49" i="2"/>
  <c r="V49" i="2"/>
  <c r="Q49" i="2"/>
  <c r="L49" i="2"/>
  <c r="F49" i="2"/>
  <c r="AT48" i="2"/>
  <c r="AO48" i="2"/>
  <c r="AI48" i="2"/>
  <c r="AD48" i="2"/>
  <c r="Y48" i="2"/>
  <c r="S48" i="2"/>
  <c r="N48" i="2"/>
  <c r="I48" i="2"/>
  <c r="C48" i="2"/>
  <c r="AQ47" i="2"/>
  <c r="AM47" i="2"/>
  <c r="AI47" i="2"/>
  <c r="AE47" i="2"/>
  <c r="AA47" i="2"/>
  <c r="W47" i="2"/>
  <c r="S47" i="2"/>
  <c r="O47" i="2"/>
  <c r="K47" i="2"/>
  <c r="G47" i="2"/>
  <c r="C47" i="2"/>
  <c r="AR46" i="2"/>
  <c r="AN46" i="2"/>
  <c r="AJ46" i="2"/>
  <c r="AF46" i="2"/>
  <c r="AB46" i="2"/>
  <c r="X46" i="2"/>
  <c r="T46" i="2"/>
  <c r="P46" i="2"/>
  <c r="L46" i="2"/>
  <c r="H46" i="2"/>
  <c r="D46" i="2"/>
  <c r="AS45" i="2"/>
  <c r="AO45" i="2"/>
  <c r="AK45" i="2"/>
  <c r="AG45" i="2"/>
  <c r="AC45" i="2"/>
  <c r="Y45" i="2"/>
  <c r="U45" i="2"/>
  <c r="Q45" i="2"/>
  <c r="M45" i="2"/>
  <c r="I45" i="2"/>
  <c r="E45" i="2"/>
  <c r="AT44" i="2"/>
  <c r="AP44" i="2"/>
  <c r="AL44" i="2"/>
  <c r="AH44" i="2"/>
  <c r="AD44" i="2"/>
  <c r="Z44" i="2"/>
  <c r="V44" i="2"/>
  <c r="R44" i="2"/>
  <c r="N44" i="2"/>
  <c r="J44" i="2"/>
  <c r="F44" i="2"/>
  <c r="AU43" i="2"/>
  <c r="AQ43" i="2"/>
  <c r="AM43" i="2"/>
  <c r="AI43" i="2"/>
  <c r="AE43" i="2"/>
  <c r="AA43" i="2"/>
  <c r="W43" i="2"/>
  <c r="S43" i="2"/>
  <c r="O43" i="2"/>
  <c r="K43" i="2"/>
  <c r="G43" i="2"/>
  <c r="C43" i="2"/>
  <c r="AR42" i="2"/>
  <c r="AN42" i="2"/>
  <c r="AJ42" i="2"/>
  <c r="AF42" i="2"/>
  <c r="AB42" i="2"/>
  <c r="X42" i="2"/>
  <c r="T42" i="2"/>
  <c r="P42" i="2"/>
  <c r="L42" i="2"/>
  <c r="H42" i="2"/>
  <c r="D42" i="2"/>
  <c r="AS41" i="2"/>
  <c r="AO41" i="2"/>
  <c r="AK41" i="2"/>
  <c r="AG41" i="2"/>
  <c r="AC41" i="2"/>
  <c r="Y41" i="2"/>
  <c r="U41" i="2"/>
  <c r="Q41" i="2"/>
  <c r="M41" i="2"/>
  <c r="E56" i="2"/>
  <c r="AH55" i="2"/>
  <c r="R55" i="2"/>
  <c r="AU54" i="2"/>
  <c r="AE54" i="2"/>
  <c r="O54" i="2"/>
  <c r="AR53" i="2"/>
  <c r="AB53" i="2"/>
  <c r="L53" i="2"/>
  <c r="AS52" i="2"/>
  <c r="AK52" i="2"/>
  <c r="AD52" i="2"/>
  <c r="Y52" i="2"/>
  <c r="S52" i="2"/>
  <c r="N52" i="2"/>
  <c r="I52" i="2"/>
  <c r="C52" i="2"/>
  <c r="AQ51" i="2"/>
  <c r="AL51" i="2"/>
  <c r="AF51" i="2"/>
  <c r="AA51" i="2"/>
  <c r="V51" i="2"/>
  <c r="P51" i="2"/>
  <c r="K51" i="2"/>
  <c r="F51" i="2"/>
  <c r="AS50" i="2"/>
  <c r="AN50" i="2"/>
  <c r="AI50" i="2"/>
  <c r="AC50" i="2"/>
  <c r="X50" i="2"/>
  <c r="S50" i="2"/>
  <c r="M50" i="2"/>
  <c r="H50" i="2"/>
  <c r="C50" i="2"/>
  <c r="AP49" i="2"/>
  <c r="AK49" i="2"/>
  <c r="AF49" i="2"/>
  <c r="Z49" i="2"/>
  <c r="U49" i="2"/>
  <c r="P49" i="2"/>
  <c r="J49" i="2"/>
  <c r="E49" i="2"/>
  <c r="AS48" i="2"/>
  <c r="AM48" i="2"/>
  <c r="AH48" i="2"/>
  <c r="AC48" i="2"/>
  <c r="W48" i="2"/>
  <c r="R48" i="2"/>
  <c r="M48" i="2"/>
  <c r="G48" i="2"/>
  <c r="AU47" i="2"/>
  <c r="AP47" i="2"/>
  <c r="AL47" i="2"/>
  <c r="AH47" i="2"/>
  <c r="AD47" i="2"/>
  <c r="Z47" i="2"/>
  <c r="V47" i="2"/>
  <c r="R47" i="2"/>
  <c r="N47" i="2"/>
  <c r="J47" i="2"/>
  <c r="F47" i="2"/>
  <c r="AU46" i="2"/>
  <c r="AQ46" i="2"/>
  <c r="AM46" i="2"/>
  <c r="AI46" i="2"/>
  <c r="AE46" i="2"/>
  <c r="AA46" i="2"/>
  <c r="W46" i="2"/>
  <c r="S46" i="2"/>
  <c r="O46" i="2"/>
  <c r="K46" i="2"/>
  <c r="G46" i="2"/>
  <c r="C46" i="2"/>
  <c r="AR45" i="2"/>
  <c r="AN45" i="2"/>
  <c r="AJ45" i="2"/>
  <c r="AF45" i="2"/>
  <c r="AB45" i="2"/>
  <c r="X45" i="2"/>
  <c r="T45" i="2"/>
  <c r="P45" i="2"/>
  <c r="L45" i="2"/>
  <c r="H45" i="2"/>
  <c r="D45" i="2"/>
  <c r="AS44" i="2"/>
  <c r="AO44" i="2"/>
  <c r="AK44" i="2"/>
  <c r="AG44" i="2"/>
  <c r="AC44" i="2"/>
  <c r="Y44" i="2"/>
  <c r="U44" i="2"/>
  <c r="Q44" i="2"/>
  <c r="M44" i="2"/>
  <c r="I44" i="2"/>
  <c r="E44" i="2"/>
  <c r="AT43" i="2"/>
  <c r="AP43" i="2"/>
  <c r="AL43" i="2"/>
  <c r="AH43" i="2"/>
  <c r="AD43" i="2"/>
  <c r="Z43" i="2"/>
  <c r="V43" i="2"/>
  <c r="R43" i="2"/>
  <c r="N43" i="2"/>
  <c r="J43" i="2"/>
  <c r="F43" i="2"/>
  <c r="AU42" i="2"/>
  <c r="AQ42" i="2"/>
  <c r="AM42" i="2"/>
  <c r="AI42" i="2"/>
  <c r="AE42" i="2"/>
  <c r="AA42" i="2"/>
  <c r="W42" i="2"/>
  <c r="S42" i="2"/>
  <c r="O42" i="2"/>
  <c r="K42" i="2"/>
  <c r="G42" i="2"/>
  <c r="C42" i="2"/>
  <c r="AR41" i="2"/>
  <c r="AN41" i="2"/>
  <c r="AJ41" i="2"/>
  <c r="AF41" i="2"/>
  <c r="AB41" i="2"/>
  <c r="X41" i="2"/>
  <c r="T41" i="2"/>
  <c r="P41" i="2"/>
  <c r="L41" i="2"/>
  <c r="AT55" i="2"/>
  <c r="N55" i="2"/>
  <c r="AA54" i="2"/>
  <c r="AN53" i="2"/>
  <c r="H53" i="2"/>
  <c r="AH52" i="2"/>
  <c r="W52" i="2"/>
  <c r="M52" i="2"/>
  <c r="AU51" i="2"/>
  <c r="AJ51" i="2"/>
  <c r="Z51" i="2"/>
  <c r="O51" i="2"/>
  <c r="D51" i="2"/>
  <c r="AM50" i="2"/>
  <c r="AB50" i="2"/>
  <c r="Q50" i="2"/>
  <c r="G50" i="2"/>
  <c r="AO49" i="2"/>
  <c r="AD49" i="2"/>
  <c r="T49" i="2"/>
  <c r="I49" i="2"/>
  <c r="AQ48" i="2"/>
  <c r="AG48" i="2"/>
  <c r="V48" i="2"/>
  <c r="K48" i="2"/>
  <c r="AT47" i="2"/>
  <c r="AK47" i="2"/>
  <c r="AC47" i="2"/>
  <c r="U47" i="2"/>
  <c r="M47" i="2"/>
  <c r="E47" i="2"/>
  <c r="AP46" i="2"/>
  <c r="AH46" i="2"/>
  <c r="Z46" i="2"/>
  <c r="R46" i="2"/>
  <c r="J46" i="2"/>
  <c r="AU45" i="2"/>
  <c r="AM45" i="2"/>
  <c r="AE45" i="2"/>
  <c r="W45" i="2"/>
  <c r="O45" i="2"/>
  <c r="G45" i="2"/>
  <c r="AR44" i="2"/>
  <c r="AJ44" i="2"/>
  <c r="AB44" i="2"/>
  <c r="T44" i="2"/>
  <c r="L44" i="2"/>
  <c r="D44" i="2"/>
  <c r="AO43" i="2"/>
  <c r="AG43" i="2"/>
  <c r="Y43" i="2"/>
  <c r="Q43" i="2"/>
  <c r="I43" i="2"/>
  <c r="AT42" i="2"/>
  <c r="AL42" i="2"/>
  <c r="AD42" i="2"/>
  <c r="V42" i="2"/>
  <c r="N42" i="2"/>
  <c r="F42" i="2"/>
  <c r="AQ41" i="2"/>
  <c r="AI41" i="2"/>
  <c r="AA41" i="2"/>
  <c r="S41" i="2"/>
  <c r="K41" i="2"/>
  <c r="G41" i="2"/>
  <c r="C41" i="2"/>
  <c r="AR40" i="2"/>
  <c r="AN40" i="2"/>
  <c r="AJ40" i="2"/>
  <c r="AF40" i="2"/>
  <c r="AB40" i="2"/>
  <c r="X40" i="2"/>
  <c r="T40" i="2"/>
  <c r="P40" i="2"/>
  <c r="L40" i="2"/>
  <c r="H40" i="2"/>
  <c r="D40" i="2"/>
  <c r="AS39" i="2"/>
  <c r="AO39" i="2"/>
  <c r="AK39" i="2"/>
  <c r="AG39" i="2"/>
  <c r="AC39" i="2"/>
  <c r="Y39" i="2"/>
  <c r="U39" i="2"/>
  <c r="Q39" i="2"/>
  <c r="M39" i="2"/>
  <c r="I39" i="2"/>
  <c r="E39" i="2"/>
  <c r="AT38" i="2"/>
  <c r="AP38" i="2"/>
  <c r="AL38" i="2"/>
  <c r="AH38" i="2"/>
  <c r="AD38" i="2"/>
  <c r="Z38" i="2"/>
  <c r="V38" i="2"/>
  <c r="R38" i="2"/>
  <c r="N38" i="2"/>
  <c r="J38" i="2"/>
  <c r="F38" i="2"/>
  <c r="AU37" i="2"/>
  <c r="AQ37" i="2"/>
  <c r="AM37" i="2"/>
  <c r="AI37" i="2"/>
  <c r="AE37" i="2"/>
  <c r="AA37" i="2"/>
  <c r="W37" i="2"/>
  <c r="S37" i="2"/>
  <c r="O37" i="2"/>
  <c r="K37" i="2"/>
  <c r="G37" i="2"/>
  <c r="C37" i="2"/>
  <c r="AR36" i="2"/>
  <c r="AN36" i="2"/>
  <c r="AJ36" i="2"/>
  <c r="AF36" i="2"/>
  <c r="AB36" i="2"/>
  <c r="X36" i="2"/>
  <c r="T36" i="2"/>
  <c r="P36" i="2"/>
  <c r="L36" i="2"/>
  <c r="H36" i="2"/>
  <c r="D36" i="2"/>
  <c r="AS35" i="2"/>
  <c r="AO35" i="2"/>
  <c r="AK35" i="2"/>
  <c r="AG35" i="2"/>
  <c r="AC35" i="2"/>
  <c r="AP55" i="2"/>
  <c r="J55" i="2"/>
  <c r="W54" i="2"/>
  <c r="AJ53" i="2"/>
  <c r="D53" i="2"/>
  <c r="AG52" i="2"/>
  <c r="V52" i="2"/>
  <c r="K52" i="2"/>
  <c r="AT51" i="2"/>
  <c r="AI51" i="2"/>
  <c r="X51" i="2"/>
  <c r="N51" i="2"/>
  <c r="C51" i="2"/>
  <c r="AK50" i="2"/>
  <c r="AA50" i="2"/>
  <c r="P50" i="2"/>
  <c r="E50" i="2"/>
  <c r="AN49" i="2"/>
  <c r="AC49" i="2"/>
  <c r="R49" i="2"/>
  <c r="H49" i="2"/>
  <c r="AP48" i="2"/>
  <c r="AE48" i="2"/>
  <c r="U48" i="2"/>
  <c r="J48" i="2"/>
  <c r="AR47" i="2"/>
  <c r="AJ47" i="2"/>
  <c r="AB47" i="2"/>
  <c r="T47" i="2"/>
  <c r="L47" i="2"/>
  <c r="D47" i="2"/>
  <c r="AO46" i="2"/>
  <c r="AG46" i="2"/>
  <c r="Y46" i="2"/>
  <c r="Q46" i="2"/>
  <c r="I46" i="2"/>
  <c r="AT45" i="2"/>
  <c r="AL45" i="2"/>
  <c r="AD45" i="2"/>
  <c r="V45" i="2"/>
  <c r="N45" i="2"/>
  <c r="F45" i="2"/>
  <c r="AQ44" i="2"/>
  <c r="AI44" i="2"/>
  <c r="AA44" i="2"/>
  <c r="S44" i="2"/>
  <c r="K44" i="2"/>
  <c r="C44" i="2"/>
  <c r="AN43" i="2"/>
  <c r="AF43" i="2"/>
  <c r="X43" i="2"/>
  <c r="P43" i="2"/>
  <c r="H43" i="2"/>
  <c r="AS42" i="2"/>
  <c r="AK42" i="2"/>
  <c r="AC42" i="2"/>
  <c r="U42" i="2"/>
  <c r="M42" i="2"/>
  <c r="E42" i="2"/>
  <c r="AP41" i="2"/>
  <c r="AH41" i="2"/>
  <c r="Z41" i="2"/>
  <c r="R41" i="2"/>
  <c r="J41" i="2"/>
  <c r="F41" i="2"/>
  <c r="AU40" i="2"/>
  <c r="AQ40" i="2"/>
  <c r="AM40" i="2"/>
  <c r="AI40" i="2"/>
  <c r="AE40" i="2"/>
  <c r="AA40" i="2"/>
  <c r="W40" i="2"/>
  <c r="S40" i="2"/>
  <c r="O40" i="2"/>
  <c r="K40" i="2"/>
  <c r="G40" i="2"/>
  <c r="C40" i="2"/>
  <c r="AR39" i="2"/>
  <c r="AN39" i="2"/>
  <c r="AJ39" i="2"/>
  <c r="AF39" i="2"/>
  <c r="AB39" i="2"/>
  <c r="X39" i="2"/>
  <c r="T39" i="2"/>
  <c r="P39" i="2"/>
  <c r="L39" i="2"/>
  <c r="H39" i="2"/>
  <c r="D39" i="2"/>
  <c r="AS38" i="2"/>
  <c r="AO38" i="2"/>
  <c r="AK38" i="2"/>
  <c r="AG38" i="2"/>
  <c r="AC38" i="2"/>
  <c r="Y38" i="2"/>
  <c r="U38" i="2"/>
  <c r="Q38" i="2"/>
  <c r="M38" i="2"/>
  <c r="I38" i="2"/>
  <c r="E38" i="2"/>
  <c r="AT37" i="2"/>
  <c r="AP37" i="2"/>
  <c r="AL37" i="2"/>
  <c r="AH37" i="2"/>
  <c r="AD37" i="2"/>
  <c r="Z37" i="2"/>
  <c r="V37" i="2"/>
  <c r="R37" i="2"/>
  <c r="N37" i="2"/>
  <c r="J37" i="2"/>
  <c r="F37" i="2"/>
  <c r="AU36" i="2"/>
  <c r="AQ36" i="2"/>
  <c r="AM36" i="2"/>
  <c r="AI36" i="2"/>
  <c r="AE36" i="2"/>
  <c r="AA36" i="2"/>
  <c r="W36" i="2"/>
  <c r="S36" i="2"/>
  <c r="O36" i="2"/>
  <c r="K36" i="2"/>
  <c r="G36" i="2"/>
  <c r="C36" i="2"/>
  <c r="AR35" i="2"/>
  <c r="AN35" i="2"/>
  <c r="AJ35" i="2"/>
  <c r="AF35" i="2"/>
  <c r="AB35" i="2"/>
  <c r="X35" i="2"/>
  <c r="T35" i="2"/>
  <c r="P35" i="2"/>
  <c r="L35" i="2"/>
  <c r="H35" i="2"/>
  <c r="D35" i="2"/>
  <c r="AS34" i="2"/>
  <c r="AO34" i="2"/>
  <c r="AK34" i="2"/>
  <c r="AG34" i="2"/>
  <c r="AC34" i="2"/>
  <c r="Y34" i="2"/>
  <c r="U34" i="2"/>
  <c r="Q34" i="2"/>
  <c r="M34" i="2"/>
  <c r="I34" i="2"/>
  <c r="E34" i="2"/>
  <c r="AT33" i="2"/>
  <c r="AP33" i="2"/>
  <c r="AL33" i="2"/>
  <c r="AH33" i="2"/>
  <c r="AD33" i="2"/>
  <c r="Z33" i="2"/>
  <c r="V33" i="2"/>
  <c r="R33" i="2"/>
  <c r="N33" i="2"/>
  <c r="J33" i="2"/>
  <c r="F33" i="2"/>
  <c r="AU32" i="2"/>
  <c r="AQ32" i="2"/>
  <c r="AM32" i="2"/>
  <c r="AI32" i="2"/>
  <c r="AE32" i="2"/>
  <c r="AA32" i="2"/>
  <c r="W32" i="2"/>
  <c r="S32" i="2"/>
  <c r="O32" i="2"/>
  <c r="K32" i="2"/>
  <c r="G32" i="2"/>
  <c r="C32" i="2"/>
  <c r="AR31" i="2"/>
  <c r="AN31" i="2"/>
  <c r="AJ31" i="2"/>
  <c r="AF31" i="2"/>
  <c r="AB31" i="2"/>
  <c r="X31" i="2"/>
  <c r="T31" i="2"/>
  <c r="P31" i="2"/>
  <c r="L31" i="2"/>
  <c r="H31" i="2"/>
  <c r="D31" i="2"/>
  <c r="AS30" i="2"/>
  <c r="AO30" i="2"/>
  <c r="AK30" i="2"/>
  <c r="AG30" i="2"/>
  <c r="AC30" i="2"/>
  <c r="Y30" i="2"/>
  <c r="U30" i="2"/>
  <c r="Q30" i="2"/>
  <c r="M30" i="2"/>
  <c r="I30" i="2"/>
  <c r="E30" i="2"/>
  <c r="AT29" i="2"/>
  <c r="AP29" i="2"/>
  <c r="AL29" i="2"/>
  <c r="AD55" i="2"/>
  <c r="K54" i="2"/>
  <c r="AP52" i="2"/>
  <c r="R52" i="2"/>
  <c r="AP51" i="2"/>
  <c r="T51" i="2"/>
  <c r="AR50" i="2"/>
  <c r="W50" i="2"/>
  <c r="AT49" i="2"/>
  <c r="Y49" i="2"/>
  <c r="D49" i="2"/>
  <c r="AA48" i="2"/>
  <c r="F48" i="2"/>
  <c r="AG47" i="2"/>
  <c r="Q47" i="2"/>
  <c r="AT46" i="2"/>
  <c r="AD46" i="2"/>
  <c r="N46" i="2"/>
  <c r="AQ45" i="2"/>
  <c r="AA45" i="2"/>
  <c r="K45" i="2"/>
  <c r="AN44" i="2"/>
  <c r="X44" i="2"/>
  <c r="H44" i="2"/>
  <c r="AK43" i="2"/>
  <c r="U43" i="2"/>
  <c r="E43" i="2"/>
  <c r="AH42" i="2"/>
  <c r="R42" i="2"/>
  <c r="AU41" i="2"/>
  <c r="AE41" i="2"/>
  <c r="O41" i="2"/>
  <c r="E41" i="2"/>
  <c r="AP40" i="2"/>
  <c r="AH40" i="2"/>
  <c r="Z40" i="2"/>
  <c r="R40" i="2"/>
  <c r="J40" i="2"/>
  <c r="AU39" i="2"/>
  <c r="AM39" i="2"/>
  <c r="AE39" i="2"/>
  <c r="W39" i="2"/>
  <c r="O39" i="2"/>
  <c r="G39" i="2"/>
  <c r="AR38" i="2"/>
  <c r="AJ38" i="2"/>
  <c r="AB38" i="2"/>
  <c r="T38" i="2"/>
  <c r="L38" i="2"/>
  <c r="D38" i="2"/>
  <c r="AO37" i="2"/>
  <c r="AG37" i="2"/>
  <c r="Y37" i="2"/>
  <c r="Q37" i="2"/>
  <c r="I37" i="2"/>
  <c r="AT36" i="2"/>
  <c r="AL36" i="2"/>
  <c r="AD36" i="2"/>
  <c r="V36" i="2"/>
  <c r="N36" i="2"/>
  <c r="F36" i="2"/>
  <c r="AQ35" i="2"/>
  <c r="AI35" i="2"/>
  <c r="AA35" i="2"/>
  <c r="V35" i="2"/>
  <c r="Q35" i="2"/>
  <c r="K35" i="2"/>
  <c r="F35" i="2"/>
  <c r="AT34" i="2"/>
  <c r="AN34" i="2"/>
  <c r="AI34" i="2"/>
  <c r="AD34" i="2"/>
  <c r="X34" i="2"/>
  <c r="S34" i="2"/>
  <c r="N34" i="2"/>
  <c r="H34" i="2"/>
  <c r="C34" i="2"/>
  <c r="AQ33" i="2"/>
  <c r="AK33" i="2"/>
  <c r="AF33" i="2"/>
  <c r="AA33" i="2"/>
  <c r="U33" i="2"/>
  <c r="P33" i="2"/>
  <c r="K33" i="2"/>
  <c r="E33" i="2"/>
  <c r="AS32" i="2"/>
  <c r="AN32" i="2"/>
  <c r="AH32" i="2"/>
  <c r="AC32" i="2"/>
  <c r="X32" i="2"/>
  <c r="R32" i="2"/>
  <c r="M32" i="2"/>
  <c r="H32" i="2"/>
  <c r="AU31" i="2"/>
  <c r="AP31" i="2"/>
  <c r="AK31" i="2"/>
  <c r="AE31" i="2"/>
  <c r="Z31" i="2"/>
  <c r="U31" i="2"/>
  <c r="O31" i="2"/>
  <c r="J31" i="2"/>
  <c r="E31" i="2"/>
  <c r="AR30" i="2"/>
  <c r="AM30" i="2"/>
  <c r="AH30" i="2"/>
  <c r="AB30" i="2"/>
  <c r="W30" i="2"/>
  <c r="R30" i="2"/>
  <c r="L30" i="2"/>
  <c r="G30" i="2"/>
  <c r="AU29" i="2"/>
  <c r="AO29" i="2"/>
  <c r="AJ29" i="2"/>
  <c r="AF29" i="2"/>
  <c r="AB29" i="2"/>
  <c r="X29" i="2"/>
  <c r="T29" i="2"/>
  <c r="P29" i="2"/>
  <c r="L29" i="2"/>
  <c r="H29" i="2"/>
  <c r="D29" i="2"/>
  <c r="AS28" i="2"/>
  <c r="AO28" i="2"/>
  <c r="AK28" i="2"/>
  <c r="AG28" i="2"/>
  <c r="AC28" i="2"/>
  <c r="Y28" i="2"/>
  <c r="U28" i="2"/>
  <c r="Q28" i="2"/>
  <c r="M28" i="2"/>
  <c r="I28" i="2"/>
  <c r="E28" i="2"/>
  <c r="AT27" i="2"/>
  <c r="AP27" i="2"/>
  <c r="AL27" i="2"/>
  <c r="AH27" i="2"/>
  <c r="AD27" i="2"/>
  <c r="Z27" i="2"/>
  <c r="V27" i="2"/>
  <c r="R27" i="2"/>
  <c r="N27" i="2"/>
  <c r="J27" i="2"/>
  <c r="F27" i="2"/>
  <c r="AU26" i="2"/>
  <c r="AQ26" i="2"/>
  <c r="AM26" i="2"/>
  <c r="AI26" i="2"/>
  <c r="AE26" i="2"/>
  <c r="AA26" i="2"/>
  <c r="W26" i="2"/>
  <c r="S26" i="2"/>
  <c r="O26" i="2"/>
  <c r="K26" i="2"/>
  <c r="G26" i="2"/>
  <c r="C26" i="2"/>
  <c r="AR25" i="2"/>
  <c r="AN25" i="2"/>
  <c r="AJ25" i="2"/>
  <c r="AF25" i="2"/>
  <c r="AB25" i="2"/>
  <c r="X25" i="2"/>
  <c r="T25" i="2"/>
  <c r="P25" i="2"/>
  <c r="L25" i="2"/>
  <c r="H25" i="2"/>
  <c r="D25" i="2"/>
  <c r="AS24" i="2"/>
  <c r="AO24" i="2"/>
  <c r="AK24" i="2"/>
  <c r="AG24" i="2"/>
  <c r="AC24" i="2"/>
  <c r="Y24" i="2"/>
  <c r="U24" i="2"/>
  <c r="Q24" i="2"/>
  <c r="M24" i="2"/>
  <c r="I24" i="2"/>
  <c r="E24" i="2"/>
  <c r="AT23" i="2"/>
  <c r="AP23" i="2"/>
  <c r="AL23" i="2"/>
  <c r="AH23" i="2"/>
  <c r="AD23" i="2"/>
  <c r="Z23" i="2"/>
  <c r="V23" i="2"/>
  <c r="R23" i="2"/>
  <c r="N23" i="2"/>
  <c r="J23" i="2"/>
  <c r="F23" i="2"/>
  <c r="AU22" i="2"/>
  <c r="AQ22" i="2"/>
  <c r="AM22" i="2"/>
  <c r="AI22" i="2"/>
  <c r="AE22" i="2"/>
  <c r="AA22" i="2"/>
  <c r="W22" i="2"/>
  <c r="S22" i="2"/>
  <c r="O22" i="2"/>
  <c r="K22" i="2"/>
  <c r="G22" i="2"/>
  <c r="C22" i="2"/>
  <c r="AR21" i="2"/>
  <c r="AN21" i="2"/>
  <c r="AJ21" i="2"/>
  <c r="AF21" i="2"/>
  <c r="AB21" i="2"/>
  <c r="X21" i="2"/>
  <c r="T21" i="2"/>
  <c r="P21" i="2"/>
  <c r="L21" i="2"/>
  <c r="H21" i="2"/>
  <c r="D21" i="2"/>
  <c r="AS20" i="2"/>
  <c r="AO20" i="2"/>
  <c r="AK20" i="2"/>
  <c r="AG20" i="2"/>
  <c r="AC20" i="2"/>
  <c r="Y20" i="2"/>
  <c r="U20" i="2"/>
  <c r="Q20" i="2"/>
  <c r="M20" i="2"/>
  <c r="I20" i="2"/>
  <c r="E20" i="2"/>
  <c r="AT19" i="2"/>
  <c r="AP19" i="2"/>
  <c r="AL19" i="2"/>
  <c r="AH19" i="2"/>
  <c r="AD19" i="2"/>
  <c r="Z19" i="2"/>
  <c r="V19" i="2"/>
  <c r="R19" i="2"/>
  <c r="N19" i="2"/>
  <c r="J19" i="2"/>
  <c r="F19" i="2"/>
  <c r="AU18" i="2"/>
  <c r="AQ18" i="2"/>
  <c r="AM18" i="2"/>
  <c r="AI18" i="2"/>
  <c r="AE18" i="2"/>
  <c r="AA18" i="2"/>
  <c r="W18" i="2"/>
  <c r="S18" i="2"/>
  <c r="O18" i="2"/>
  <c r="K18" i="2"/>
  <c r="G18" i="2"/>
  <c r="C18" i="2"/>
  <c r="AR17" i="2"/>
  <c r="AN17" i="2"/>
  <c r="AJ17" i="2"/>
  <c r="AF17" i="2"/>
  <c r="AB17" i="2"/>
  <c r="X17" i="2"/>
  <c r="T17" i="2"/>
  <c r="P17" i="2"/>
  <c r="L17" i="2"/>
  <c r="H17" i="2"/>
  <c r="Z55" i="2"/>
  <c r="G54" i="2"/>
  <c r="AO52" i="2"/>
  <c r="Q52" i="2"/>
  <c r="AN51" i="2"/>
  <c r="S51" i="2"/>
  <c r="AQ50" i="2"/>
  <c r="U50" i="2"/>
  <c r="AS49" i="2"/>
  <c r="X49" i="2"/>
  <c r="AU48" i="2"/>
  <c r="Z48" i="2"/>
  <c r="E48" i="2"/>
  <c r="AF47" i="2"/>
  <c r="P47" i="2"/>
  <c r="AS46" i="2"/>
  <c r="AC46" i="2"/>
  <c r="M46" i="2"/>
  <c r="AP45" i="2"/>
  <c r="Z45" i="2"/>
  <c r="J45" i="2"/>
  <c r="AM44" i="2"/>
  <c r="W44" i="2"/>
  <c r="G44" i="2"/>
  <c r="AJ43" i="2"/>
  <c r="T43" i="2"/>
  <c r="D43" i="2"/>
  <c r="AG42" i="2"/>
  <c r="Q42" i="2"/>
  <c r="AT41" i="2"/>
  <c r="AD41" i="2"/>
  <c r="N41" i="2"/>
  <c r="D41" i="2"/>
  <c r="AO40" i="2"/>
  <c r="AG40" i="2"/>
  <c r="Y40" i="2"/>
  <c r="Q40" i="2"/>
  <c r="I40" i="2"/>
  <c r="AT39" i="2"/>
  <c r="AL39" i="2"/>
  <c r="AD39" i="2"/>
  <c r="V39" i="2"/>
  <c r="N39" i="2"/>
  <c r="F39" i="2"/>
  <c r="AQ38" i="2"/>
  <c r="AI38" i="2"/>
  <c r="AA38" i="2"/>
  <c r="S38" i="2"/>
  <c r="K38" i="2"/>
  <c r="C38" i="2"/>
  <c r="AN37" i="2"/>
  <c r="AF37" i="2"/>
  <c r="X37" i="2"/>
  <c r="P37" i="2"/>
  <c r="H37" i="2"/>
  <c r="AS36" i="2"/>
  <c r="AK36" i="2"/>
  <c r="AC36" i="2"/>
  <c r="U36" i="2"/>
  <c r="M36" i="2"/>
  <c r="E36" i="2"/>
  <c r="AP35" i="2"/>
  <c r="AH35" i="2"/>
  <c r="Z35" i="2"/>
  <c r="U35" i="2"/>
  <c r="O35" i="2"/>
  <c r="J35" i="2"/>
  <c r="E35" i="2"/>
  <c r="AR34" i="2"/>
  <c r="AM34" i="2"/>
  <c r="AH34" i="2"/>
  <c r="AB34" i="2"/>
  <c r="W34" i="2"/>
  <c r="R34" i="2"/>
  <c r="L34" i="2"/>
  <c r="G34" i="2"/>
  <c r="AU33" i="2"/>
  <c r="AO33" i="2"/>
  <c r="AJ33" i="2"/>
  <c r="AE33" i="2"/>
  <c r="Y33" i="2"/>
  <c r="T33" i="2"/>
  <c r="O33" i="2"/>
  <c r="I33" i="2"/>
  <c r="D33" i="2"/>
  <c r="AR32" i="2"/>
  <c r="AL32" i="2"/>
  <c r="AG32" i="2"/>
  <c r="AB32" i="2"/>
  <c r="V32" i="2"/>
  <c r="Q32" i="2"/>
  <c r="L32" i="2"/>
  <c r="F32" i="2"/>
  <c r="AT31" i="2"/>
  <c r="AO31" i="2"/>
  <c r="AI31" i="2"/>
  <c r="AD31" i="2"/>
  <c r="Y31" i="2"/>
  <c r="S31" i="2"/>
  <c r="N31" i="2"/>
  <c r="I31" i="2"/>
  <c r="C31" i="2"/>
  <c r="AQ30" i="2"/>
  <c r="AL30" i="2"/>
  <c r="AF30" i="2"/>
  <c r="AA30" i="2"/>
  <c r="V30" i="2"/>
  <c r="P30" i="2"/>
  <c r="K30" i="2"/>
  <c r="F30" i="2"/>
  <c r="AS29" i="2"/>
  <c r="AN29" i="2"/>
  <c r="AI29" i="2"/>
  <c r="AE29" i="2"/>
  <c r="AA29" i="2"/>
  <c r="W29" i="2"/>
  <c r="S29" i="2"/>
  <c r="O29" i="2"/>
  <c r="K29" i="2"/>
  <c r="G29" i="2"/>
  <c r="C29" i="2"/>
  <c r="AR28" i="2"/>
  <c r="AN28" i="2"/>
  <c r="AJ28" i="2"/>
  <c r="AF28" i="2"/>
  <c r="AB28" i="2"/>
  <c r="X28" i="2"/>
  <c r="T28" i="2"/>
  <c r="P28" i="2"/>
  <c r="L28" i="2"/>
  <c r="H28" i="2"/>
  <c r="D28" i="2"/>
  <c r="AS27" i="2"/>
  <c r="AO27" i="2"/>
  <c r="AK27" i="2"/>
  <c r="AG27" i="2"/>
  <c r="AC27" i="2"/>
  <c r="Y27" i="2"/>
  <c r="U27" i="2"/>
  <c r="Q27" i="2"/>
  <c r="M27" i="2"/>
  <c r="I27" i="2"/>
  <c r="E27" i="2"/>
  <c r="AT26" i="2"/>
  <c r="AP26" i="2"/>
  <c r="AL26" i="2"/>
  <c r="AH26" i="2"/>
  <c r="AD26" i="2"/>
  <c r="Z26" i="2"/>
  <c r="V26" i="2"/>
  <c r="R26" i="2"/>
  <c r="N26" i="2"/>
  <c r="J26" i="2"/>
  <c r="F26" i="2"/>
  <c r="AU25" i="2"/>
  <c r="AQ25" i="2"/>
  <c r="AM25" i="2"/>
  <c r="AI25" i="2"/>
  <c r="AE25" i="2"/>
  <c r="AA25" i="2"/>
  <c r="W25" i="2"/>
  <c r="S25" i="2"/>
  <c r="O25" i="2"/>
  <c r="K25" i="2"/>
  <c r="G25" i="2"/>
  <c r="C25" i="2"/>
  <c r="AR24" i="2"/>
  <c r="AN24" i="2"/>
  <c r="AJ24" i="2"/>
  <c r="AF24" i="2"/>
  <c r="AB24" i="2"/>
  <c r="X24" i="2"/>
  <c r="T24" i="2"/>
  <c r="P24" i="2"/>
  <c r="L24" i="2"/>
  <c r="H24" i="2"/>
  <c r="D24" i="2"/>
  <c r="AS23" i="2"/>
  <c r="AO23" i="2"/>
  <c r="AK23" i="2"/>
  <c r="AG23" i="2"/>
  <c r="AC23" i="2"/>
  <c r="Y23" i="2"/>
  <c r="U23" i="2"/>
  <c r="Q23" i="2"/>
  <c r="M23" i="2"/>
  <c r="I23" i="2"/>
  <c r="E23" i="2"/>
  <c r="AT22" i="2"/>
  <c r="AP22" i="2"/>
  <c r="AL22" i="2"/>
  <c r="AH22" i="2"/>
  <c r="AD22" i="2"/>
  <c r="Z22" i="2"/>
  <c r="V22" i="2"/>
  <c r="R22" i="2"/>
  <c r="N22" i="2"/>
  <c r="J22" i="2"/>
  <c r="F22" i="2"/>
  <c r="AU21" i="2"/>
  <c r="AQ21" i="2"/>
  <c r="AM21" i="2"/>
  <c r="AI21" i="2"/>
  <c r="AE21" i="2"/>
  <c r="AA21" i="2"/>
  <c r="W21" i="2"/>
  <c r="S21" i="2"/>
  <c r="O21" i="2"/>
  <c r="K21" i="2"/>
  <c r="G21" i="2"/>
  <c r="C21" i="2"/>
  <c r="AR20" i="2"/>
  <c r="AN20" i="2"/>
  <c r="AJ20" i="2"/>
  <c r="AF20" i="2"/>
  <c r="AB20" i="2"/>
  <c r="X20" i="2"/>
  <c r="T20" i="2"/>
  <c r="P20" i="2"/>
  <c r="L20" i="2"/>
  <c r="H20" i="2"/>
  <c r="D20" i="2"/>
  <c r="AS19" i="2"/>
  <c r="AO19" i="2"/>
  <c r="AK19" i="2"/>
  <c r="AG19" i="2"/>
  <c r="AC19" i="2"/>
  <c r="Y19" i="2"/>
  <c r="U19" i="2"/>
  <c r="Q19" i="2"/>
  <c r="M19" i="2"/>
  <c r="I19" i="2"/>
  <c r="E19" i="2"/>
  <c r="AT18" i="2"/>
  <c r="AP18" i="2"/>
  <c r="AL18" i="2"/>
  <c r="AH18" i="2"/>
  <c r="AD18" i="2"/>
  <c r="Z18" i="2"/>
  <c r="V18" i="2"/>
  <c r="R18" i="2"/>
  <c r="N18" i="2"/>
  <c r="J18" i="2"/>
  <c r="F18" i="2"/>
  <c r="AU17" i="2"/>
  <c r="AQ17" i="2"/>
  <c r="AM17" i="2"/>
  <c r="AI17" i="2"/>
  <c r="AE17" i="2"/>
  <c r="AA17" i="2"/>
  <c r="W17" i="2"/>
  <c r="S17" i="2"/>
  <c r="O17" i="2"/>
  <c r="K17" i="2"/>
  <c r="G17" i="2"/>
  <c r="AQ54" i="2"/>
  <c r="AC52" i="2"/>
  <c r="AE51" i="2"/>
  <c r="AG50" i="2"/>
  <c r="AJ49" i="2"/>
  <c r="AL48" i="2"/>
  <c r="AO47" i="2"/>
  <c r="I47" i="2"/>
  <c r="V46" i="2"/>
  <c r="AI45" i="2"/>
  <c r="C45" i="2"/>
  <c r="P44" i="2"/>
  <c r="AC43" i="2"/>
  <c r="AP42" i="2"/>
  <c r="J42" i="2"/>
  <c r="W41" i="2"/>
  <c r="AT40" i="2"/>
  <c r="AD40" i="2"/>
  <c r="N40" i="2"/>
  <c r="AQ39" i="2"/>
  <c r="AA39" i="2"/>
  <c r="K39" i="2"/>
  <c r="AN38" i="2"/>
  <c r="X38" i="2"/>
  <c r="H38" i="2"/>
  <c r="AK37" i="2"/>
  <c r="U37" i="2"/>
  <c r="E37" i="2"/>
  <c r="AH36" i="2"/>
  <c r="R36" i="2"/>
  <c r="AU35" i="2"/>
  <c r="AE35" i="2"/>
  <c r="S35" i="2"/>
  <c r="I35" i="2"/>
  <c r="AQ34" i="2"/>
  <c r="AF34" i="2"/>
  <c r="V34" i="2"/>
  <c r="K34" i="2"/>
  <c r="AS33" i="2"/>
  <c r="AI33" i="2"/>
  <c r="X33" i="2"/>
  <c r="M33" i="2"/>
  <c r="C33" i="2"/>
  <c r="AK32" i="2"/>
  <c r="Z32" i="2"/>
  <c r="P32" i="2"/>
  <c r="E32" i="2"/>
  <c r="AM31" i="2"/>
  <c r="AC31" i="2"/>
  <c r="R31" i="2"/>
  <c r="G31" i="2"/>
  <c r="AP30" i="2"/>
  <c r="AE30" i="2"/>
  <c r="T30" i="2"/>
  <c r="J30" i="2"/>
  <c r="AR29" i="2"/>
  <c r="AH29" i="2"/>
  <c r="Z29" i="2"/>
  <c r="R29" i="2"/>
  <c r="J29" i="2"/>
  <c r="AU28" i="2"/>
  <c r="AM28" i="2"/>
  <c r="AE28" i="2"/>
  <c r="W28" i="2"/>
  <c r="O28" i="2"/>
  <c r="G28" i="2"/>
  <c r="AR27" i="2"/>
  <c r="AJ27" i="2"/>
  <c r="AB27" i="2"/>
  <c r="T27" i="2"/>
  <c r="L27" i="2"/>
  <c r="D27" i="2"/>
  <c r="AO26" i="2"/>
  <c r="AG26" i="2"/>
  <c r="Y26" i="2"/>
  <c r="Q26" i="2"/>
  <c r="I26" i="2"/>
  <c r="AT25" i="2"/>
  <c r="AL25" i="2"/>
  <c r="AD25" i="2"/>
  <c r="V25" i="2"/>
  <c r="N25" i="2"/>
  <c r="F25" i="2"/>
  <c r="AQ24" i="2"/>
  <c r="AI24" i="2"/>
  <c r="AA24" i="2"/>
  <c r="S24" i="2"/>
  <c r="K24" i="2"/>
  <c r="C24" i="2"/>
  <c r="AN23" i="2"/>
  <c r="AF23" i="2"/>
  <c r="X23" i="2"/>
  <c r="P23" i="2"/>
  <c r="H23" i="2"/>
  <c r="AS22" i="2"/>
  <c r="AK22" i="2"/>
  <c r="AC22" i="2"/>
  <c r="U22" i="2"/>
  <c r="M22" i="2"/>
  <c r="E22" i="2"/>
  <c r="AP21" i="2"/>
  <c r="AH21" i="2"/>
  <c r="Z21" i="2"/>
  <c r="R21" i="2"/>
  <c r="J21" i="2"/>
  <c r="AU20" i="2"/>
  <c r="AM20" i="2"/>
  <c r="AE20" i="2"/>
  <c r="W20" i="2"/>
  <c r="O20" i="2"/>
  <c r="G20" i="2"/>
  <c r="AR19" i="2"/>
  <c r="AJ19" i="2"/>
  <c r="AB19" i="2"/>
  <c r="T19" i="2"/>
  <c r="L19" i="2"/>
  <c r="D19" i="2"/>
  <c r="AO18" i="2"/>
  <c r="AG18" i="2"/>
  <c r="Y18" i="2"/>
  <c r="Q18" i="2"/>
  <c r="I18" i="2"/>
  <c r="AT17" i="2"/>
  <c r="AL17" i="2"/>
  <c r="AD17" i="2"/>
  <c r="V17" i="2"/>
  <c r="N17" i="2"/>
  <c r="F17" i="2"/>
  <c r="AU16" i="2"/>
  <c r="AQ16" i="2"/>
  <c r="AM16" i="2"/>
  <c r="AI16" i="2"/>
  <c r="AE16" i="2"/>
  <c r="AA16" i="2"/>
  <c r="W16" i="2"/>
  <c r="S16" i="2"/>
  <c r="O16" i="2"/>
  <c r="K16" i="2"/>
  <c r="G16" i="2"/>
  <c r="C16" i="2"/>
  <c r="AR15" i="2"/>
  <c r="AN15" i="2"/>
  <c r="AJ15" i="2"/>
  <c r="AF15" i="2"/>
  <c r="AB15" i="2"/>
  <c r="X15" i="2"/>
  <c r="T15" i="2"/>
  <c r="P15" i="2"/>
  <c r="L15" i="2"/>
  <c r="H15" i="2"/>
  <c r="D15" i="2"/>
  <c r="AS14" i="2"/>
  <c r="AO14" i="2"/>
  <c r="AK14" i="2"/>
  <c r="AG14" i="2"/>
  <c r="AC14" i="2"/>
  <c r="Y14" i="2"/>
  <c r="U14" i="2"/>
  <c r="Q14" i="2"/>
  <c r="M14" i="2"/>
  <c r="I14" i="2"/>
  <c r="E14" i="2"/>
  <c r="AT13" i="2"/>
  <c r="AP13" i="2"/>
  <c r="AL13" i="2"/>
  <c r="AH13" i="2"/>
  <c r="AD13" i="2"/>
  <c r="Z13" i="2"/>
  <c r="V13" i="2"/>
  <c r="R13" i="2"/>
  <c r="N13" i="2"/>
  <c r="J13" i="2"/>
  <c r="F13" i="2"/>
  <c r="AU12" i="2"/>
  <c r="AQ12" i="2"/>
  <c r="AM12" i="2"/>
  <c r="AI12" i="2"/>
  <c r="AE12" i="2"/>
  <c r="AA12" i="2"/>
  <c r="W12" i="2"/>
  <c r="S12" i="2"/>
  <c r="O12" i="2"/>
  <c r="K12" i="2"/>
  <c r="G12" i="2"/>
  <c r="C12" i="2"/>
  <c r="AR11" i="2"/>
  <c r="AN11" i="2"/>
  <c r="AJ11" i="2"/>
  <c r="AF11" i="2"/>
  <c r="AB11" i="2"/>
  <c r="X11" i="2"/>
  <c r="T11" i="2"/>
  <c r="P11" i="2"/>
  <c r="L11" i="2"/>
  <c r="H11" i="2"/>
  <c r="D11" i="2"/>
  <c r="AS10" i="2"/>
  <c r="AO10" i="2"/>
  <c r="AK10" i="2"/>
  <c r="AG10" i="2"/>
  <c r="AC10" i="2"/>
  <c r="Y10" i="2"/>
  <c r="U10" i="2"/>
  <c r="Q10" i="2"/>
  <c r="M10" i="2"/>
  <c r="I10" i="2"/>
  <c r="E10" i="2"/>
  <c r="AT9" i="2"/>
  <c r="AP9" i="2"/>
  <c r="AL9" i="2"/>
  <c r="AH9" i="2"/>
  <c r="AD9" i="2"/>
  <c r="Z9" i="2"/>
  <c r="V9" i="2"/>
  <c r="R9" i="2"/>
  <c r="N9" i="2"/>
  <c r="J9" i="2"/>
  <c r="F9" i="2"/>
  <c r="AU8" i="2"/>
  <c r="AQ8" i="2"/>
  <c r="AM8" i="2"/>
  <c r="AI8" i="2"/>
  <c r="AE8" i="2"/>
  <c r="AA8" i="2"/>
  <c r="W8" i="2"/>
  <c r="S8" i="2"/>
  <c r="O8" i="2"/>
  <c r="K8" i="2"/>
  <c r="G8" i="2"/>
  <c r="C8" i="2"/>
  <c r="AR7" i="2"/>
  <c r="AN7" i="2"/>
  <c r="AJ7" i="2"/>
  <c r="AF7" i="2"/>
  <c r="AB7" i="2"/>
  <c r="X7" i="2"/>
  <c r="T7" i="2"/>
  <c r="P7" i="2"/>
  <c r="L7" i="2"/>
  <c r="H7" i="2"/>
  <c r="D7" i="2"/>
  <c r="AS6" i="2"/>
  <c r="AO6" i="2"/>
  <c r="AK6" i="2"/>
  <c r="AG6" i="2"/>
  <c r="AC6" i="2"/>
  <c r="Y6" i="2"/>
  <c r="U6" i="2"/>
  <c r="Q6" i="2"/>
  <c r="M6" i="2"/>
  <c r="I6" i="2"/>
  <c r="E6" i="2"/>
  <c r="AT5" i="2"/>
  <c r="AP5" i="2"/>
  <c r="AL5" i="2"/>
  <c r="AM54" i="2"/>
  <c r="AA52" i="2"/>
  <c r="AD51" i="2"/>
  <c r="AF50" i="2"/>
  <c r="AH49" i="2"/>
  <c r="AK48" i="2"/>
  <c r="AN47" i="2"/>
  <c r="H47" i="2"/>
  <c r="U46" i="2"/>
  <c r="AH45" i="2"/>
  <c r="AU44" i="2"/>
  <c r="O44" i="2"/>
  <c r="AB43" i="2"/>
  <c r="AO42" i="2"/>
  <c r="I42" i="2"/>
  <c r="V41" i="2"/>
  <c r="AS40" i="2"/>
  <c r="AC40" i="2"/>
  <c r="M40" i="2"/>
  <c r="AP39" i="2"/>
  <c r="Z39" i="2"/>
  <c r="J39" i="2"/>
  <c r="AM38" i="2"/>
  <c r="W38" i="2"/>
  <c r="G38" i="2"/>
  <c r="AJ37" i="2"/>
  <c r="T37" i="2"/>
  <c r="D37" i="2"/>
  <c r="AG36" i="2"/>
  <c r="Q36" i="2"/>
  <c r="AT35" i="2"/>
  <c r="AD35" i="2"/>
  <c r="R35" i="2"/>
  <c r="G35" i="2"/>
  <c r="AP34" i="2"/>
  <c r="AE34" i="2"/>
  <c r="T34" i="2"/>
  <c r="J34" i="2"/>
  <c r="AR33" i="2"/>
  <c r="AG33" i="2"/>
  <c r="W33" i="2"/>
  <c r="L33" i="2"/>
  <c r="AT32" i="2"/>
  <c r="AJ32" i="2"/>
  <c r="Y32" i="2"/>
  <c r="N32" i="2"/>
  <c r="D32" i="2"/>
  <c r="AL31" i="2"/>
  <c r="AA31" i="2"/>
  <c r="Q31" i="2"/>
  <c r="F31" i="2"/>
  <c r="AN30" i="2"/>
  <c r="AD30" i="2"/>
  <c r="S30" i="2"/>
  <c r="H30" i="2"/>
  <c r="AQ29" i="2"/>
  <c r="AG29" i="2"/>
  <c r="Y29" i="2"/>
  <c r="Q29" i="2"/>
  <c r="I29" i="2"/>
  <c r="AT28" i="2"/>
  <c r="AL28" i="2"/>
  <c r="AD28" i="2"/>
  <c r="V28" i="2"/>
  <c r="N28" i="2"/>
  <c r="F28" i="2"/>
  <c r="AQ27" i="2"/>
  <c r="AI27" i="2"/>
  <c r="AA27" i="2"/>
  <c r="S27" i="2"/>
  <c r="K27" i="2"/>
  <c r="C27" i="2"/>
  <c r="AN26" i="2"/>
  <c r="AF26" i="2"/>
  <c r="X26" i="2"/>
  <c r="P26" i="2"/>
  <c r="H26" i="2"/>
  <c r="AS25" i="2"/>
  <c r="AK25" i="2"/>
  <c r="AC25" i="2"/>
  <c r="U25" i="2"/>
  <c r="M25" i="2"/>
  <c r="E25" i="2"/>
  <c r="AP24" i="2"/>
  <c r="AH24" i="2"/>
  <c r="Z24" i="2"/>
  <c r="R24" i="2"/>
  <c r="J24" i="2"/>
  <c r="AU23" i="2"/>
  <c r="AM23" i="2"/>
  <c r="AE23" i="2"/>
  <c r="W23" i="2"/>
  <c r="O23" i="2"/>
  <c r="G23" i="2"/>
  <c r="AR22" i="2"/>
  <c r="AJ22" i="2"/>
  <c r="AB22" i="2"/>
  <c r="T22" i="2"/>
  <c r="L22" i="2"/>
  <c r="D22" i="2"/>
  <c r="AO21" i="2"/>
  <c r="AG21" i="2"/>
  <c r="Y21" i="2"/>
  <c r="Q21" i="2"/>
  <c r="I21" i="2"/>
  <c r="AT20" i="2"/>
  <c r="AL20" i="2"/>
  <c r="AD20" i="2"/>
  <c r="V20" i="2"/>
  <c r="N20" i="2"/>
  <c r="F20" i="2"/>
  <c r="AQ19" i="2"/>
  <c r="AI19" i="2"/>
  <c r="AA19" i="2"/>
  <c r="S19" i="2"/>
  <c r="K19" i="2"/>
  <c r="C19" i="2"/>
  <c r="AN18" i="2"/>
  <c r="AF18" i="2"/>
  <c r="X18" i="2"/>
  <c r="P18" i="2"/>
  <c r="H18" i="2"/>
  <c r="AS17" i="2"/>
  <c r="AK17" i="2"/>
  <c r="AC17" i="2"/>
  <c r="U17" i="2"/>
  <c r="M17" i="2"/>
  <c r="E17" i="2"/>
  <c r="AT16" i="2"/>
  <c r="AP16" i="2"/>
  <c r="AL16" i="2"/>
  <c r="AH16" i="2"/>
  <c r="AD16" i="2"/>
  <c r="Z16" i="2"/>
  <c r="V16" i="2"/>
  <c r="R16" i="2"/>
  <c r="N16" i="2"/>
  <c r="J16" i="2"/>
  <c r="F16" i="2"/>
  <c r="AU15" i="2"/>
  <c r="AQ15" i="2"/>
  <c r="AM15" i="2"/>
  <c r="AI15" i="2"/>
  <c r="AE15" i="2"/>
  <c r="AA15" i="2"/>
  <c r="W15" i="2"/>
  <c r="S15" i="2"/>
  <c r="O15" i="2"/>
  <c r="K15" i="2"/>
  <c r="G15" i="2"/>
  <c r="C15" i="2"/>
  <c r="AR14" i="2"/>
  <c r="AN14" i="2"/>
  <c r="AJ14" i="2"/>
  <c r="AF14" i="2"/>
  <c r="AB14" i="2"/>
  <c r="X14" i="2"/>
  <c r="T14" i="2"/>
  <c r="P14" i="2"/>
  <c r="L14" i="2"/>
  <c r="H14" i="2"/>
  <c r="D14" i="2"/>
  <c r="AS13" i="2"/>
  <c r="AO13" i="2"/>
  <c r="AK13" i="2"/>
  <c r="AG13" i="2"/>
  <c r="AC13" i="2"/>
  <c r="Y13" i="2"/>
  <c r="U13" i="2"/>
  <c r="Q13" i="2"/>
  <c r="M13" i="2"/>
  <c r="I13" i="2"/>
  <c r="E13" i="2"/>
  <c r="AT12" i="2"/>
  <c r="AP12" i="2"/>
  <c r="AL12" i="2"/>
  <c r="AH12" i="2"/>
  <c r="AD12" i="2"/>
  <c r="Z12" i="2"/>
  <c r="V12" i="2"/>
  <c r="R12" i="2"/>
  <c r="N12" i="2"/>
  <c r="J12" i="2"/>
  <c r="F12" i="2"/>
  <c r="AU11" i="2"/>
  <c r="AQ11" i="2"/>
  <c r="AM11" i="2"/>
  <c r="AI11" i="2"/>
  <c r="AE11" i="2"/>
  <c r="AA11" i="2"/>
  <c r="W11" i="2"/>
  <c r="S11" i="2"/>
  <c r="O11" i="2"/>
  <c r="K11" i="2"/>
  <c r="G11" i="2"/>
  <c r="C11" i="2"/>
  <c r="AR10" i="2"/>
  <c r="AN10" i="2"/>
  <c r="AJ10" i="2"/>
  <c r="AF10" i="2"/>
  <c r="AB10" i="2"/>
  <c r="X10" i="2"/>
  <c r="T10" i="2"/>
  <c r="P10" i="2"/>
  <c r="L10" i="2"/>
  <c r="H10" i="2"/>
  <c r="D10" i="2"/>
  <c r="AS9" i="2"/>
  <c r="AO9" i="2"/>
  <c r="AK9" i="2"/>
  <c r="AG9" i="2"/>
  <c r="AC9" i="2"/>
  <c r="Y9" i="2"/>
  <c r="U9" i="2"/>
  <c r="Q9" i="2"/>
  <c r="M9" i="2"/>
  <c r="I9" i="2"/>
  <c r="E9" i="2"/>
  <c r="AT8" i="2"/>
  <c r="AP8" i="2"/>
  <c r="AL8" i="2"/>
  <c r="AH8" i="2"/>
  <c r="AD8" i="2"/>
  <c r="Z8" i="2"/>
  <c r="V8" i="2"/>
  <c r="R8" i="2"/>
  <c r="N8" i="2"/>
  <c r="J8" i="2"/>
  <c r="F8" i="2"/>
  <c r="AU7" i="2"/>
  <c r="AQ7" i="2"/>
  <c r="AM7" i="2"/>
  <c r="AI7" i="2"/>
  <c r="AE7" i="2"/>
  <c r="AA7" i="2"/>
  <c r="W7" i="2"/>
  <c r="S7" i="2"/>
  <c r="O7" i="2"/>
  <c r="K7" i="2"/>
  <c r="G7" i="2"/>
  <c r="C7" i="2"/>
  <c r="AR6" i="2"/>
  <c r="AN6" i="2"/>
  <c r="AJ6" i="2"/>
  <c r="AF6" i="2"/>
  <c r="AB6" i="2"/>
  <c r="X6" i="2"/>
  <c r="T6" i="2"/>
  <c r="P6" i="2"/>
  <c r="L6" i="2"/>
  <c r="H6" i="2"/>
  <c r="D6" i="2"/>
  <c r="AS5" i="2"/>
  <c r="AO5" i="2"/>
  <c r="AK5" i="2"/>
  <c r="AG5" i="2"/>
  <c r="AC5" i="2"/>
  <c r="Y5" i="2"/>
  <c r="U5" i="2"/>
  <c r="Q5" i="2"/>
  <c r="M5" i="2"/>
  <c r="I5" i="2"/>
  <c r="E5" i="2"/>
  <c r="AT4" i="2"/>
  <c r="AP4" i="2"/>
  <c r="AL4" i="2"/>
  <c r="AH4" i="2"/>
  <c r="AD4" i="2"/>
  <c r="Z4" i="2"/>
  <c r="V4" i="2"/>
  <c r="R4" i="2"/>
  <c r="N4" i="2"/>
  <c r="J4" i="2"/>
  <c r="F4" i="2"/>
  <c r="AU3" i="2"/>
  <c r="AQ3" i="2"/>
  <c r="AM3" i="2"/>
  <c r="AI3" i="2"/>
  <c r="AE3" i="2"/>
  <c r="AA3" i="2"/>
  <c r="W3" i="2"/>
  <c r="S3" i="2"/>
  <c r="O3" i="2"/>
  <c r="K3" i="2"/>
  <c r="G3" i="2"/>
  <c r="C3" i="2"/>
  <c r="AR2" i="2"/>
  <c r="AN2" i="2"/>
  <c r="AJ2" i="2"/>
  <c r="AF2" i="2"/>
  <c r="AB2" i="2"/>
  <c r="X2" i="2"/>
  <c r="T2" i="2"/>
  <c r="P2" i="2"/>
  <c r="L2" i="2"/>
  <c r="H2" i="2"/>
  <c r="D2" i="2"/>
  <c r="X53" i="2"/>
  <c r="J51" i="2"/>
  <c r="N49" i="2"/>
  <c r="Y47" i="2"/>
  <c r="F46" i="2"/>
  <c r="AF44" i="2"/>
  <c r="M43" i="2"/>
  <c r="AM41" i="2"/>
  <c r="AL40" i="2"/>
  <c r="F40" i="2"/>
  <c r="S39" i="2"/>
  <c r="AF38" i="2"/>
  <c r="AS37" i="2"/>
  <c r="M37" i="2"/>
  <c r="Z36" i="2"/>
  <c r="AM35" i="2"/>
  <c r="N35" i="2"/>
  <c r="AL34" i="2"/>
  <c r="P34" i="2"/>
  <c r="AN33" i="2"/>
  <c r="S33" i="2"/>
  <c r="AP32" i="2"/>
  <c r="U32" i="2"/>
  <c r="AS31" i="2"/>
  <c r="W31" i="2"/>
  <c r="AU30" i="2"/>
  <c r="Z30" i="2"/>
  <c r="D30" i="2"/>
  <c r="AD29" i="2"/>
  <c r="N29" i="2"/>
  <c r="AQ28" i="2"/>
  <c r="AA28" i="2"/>
  <c r="K28" i="2"/>
  <c r="AN27" i="2"/>
  <c r="X27" i="2"/>
  <c r="H27" i="2"/>
  <c r="AK26" i="2"/>
  <c r="U26" i="2"/>
  <c r="E26" i="2"/>
  <c r="AH25" i="2"/>
  <c r="R25" i="2"/>
  <c r="AU24" i="2"/>
  <c r="AE24" i="2"/>
  <c r="O24" i="2"/>
  <c r="AR23" i="2"/>
  <c r="AB23" i="2"/>
  <c r="L23" i="2"/>
  <c r="AO22" i="2"/>
  <c r="Y22" i="2"/>
  <c r="I22" i="2"/>
  <c r="AL21" i="2"/>
  <c r="V21" i="2"/>
  <c r="F21" i="2"/>
  <c r="AI20" i="2"/>
  <c r="S20" i="2"/>
  <c r="C20" i="2"/>
  <c r="AF19" i="2"/>
  <c r="P19" i="2"/>
  <c r="AS18" i="2"/>
  <c r="AC18" i="2"/>
  <c r="M18" i="2"/>
  <c r="AP17" i="2"/>
  <c r="Z17" i="2"/>
  <c r="J17" i="2"/>
  <c r="AS16" i="2"/>
  <c r="AK16" i="2"/>
  <c r="AC16" i="2"/>
  <c r="U16" i="2"/>
  <c r="M16" i="2"/>
  <c r="E16" i="2"/>
  <c r="AP15" i="2"/>
  <c r="AH15" i="2"/>
  <c r="Z15" i="2"/>
  <c r="R15" i="2"/>
  <c r="J15" i="2"/>
  <c r="AU14" i="2"/>
  <c r="AM14" i="2"/>
  <c r="AE14" i="2"/>
  <c r="W14" i="2"/>
  <c r="O14" i="2"/>
  <c r="G14" i="2"/>
  <c r="AR13" i="2"/>
  <c r="AJ13" i="2"/>
  <c r="AB13" i="2"/>
  <c r="T13" i="2"/>
  <c r="L13" i="2"/>
  <c r="D13" i="2"/>
  <c r="AO12" i="2"/>
  <c r="AG12" i="2"/>
  <c r="Y12" i="2"/>
  <c r="Q12" i="2"/>
  <c r="I12" i="2"/>
  <c r="AT11" i="2"/>
  <c r="AL11" i="2"/>
  <c r="AD11" i="2"/>
  <c r="V11" i="2"/>
  <c r="N11" i="2"/>
  <c r="F11" i="2"/>
  <c r="AQ10" i="2"/>
  <c r="AI10" i="2"/>
  <c r="AA10" i="2"/>
  <c r="S10" i="2"/>
  <c r="K10" i="2"/>
  <c r="C10" i="2"/>
  <c r="AN9" i="2"/>
  <c r="AF9" i="2"/>
  <c r="X9" i="2"/>
  <c r="P9" i="2"/>
  <c r="H9" i="2"/>
  <c r="AS8" i="2"/>
  <c r="AK8" i="2"/>
  <c r="AC8" i="2"/>
  <c r="U8" i="2"/>
  <c r="M8" i="2"/>
  <c r="E8" i="2"/>
  <c r="AP7" i="2"/>
  <c r="AH7" i="2"/>
  <c r="Z7" i="2"/>
  <c r="R7" i="2"/>
  <c r="J7" i="2"/>
  <c r="AU6" i="2"/>
  <c r="AM6" i="2"/>
  <c r="AE6" i="2"/>
  <c r="W6" i="2"/>
  <c r="O6" i="2"/>
  <c r="G6" i="2"/>
  <c r="AR5" i="2"/>
  <c r="AJ5" i="2"/>
  <c r="AE5" i="2"/>
  <c r="Z5" i="2"/>
  <c r="T5" i="2"/>
  <c r="O5" i="2"/>
  <c r="J5" i="2"/>
  <c r="D5" i="2"/>
  <c r="AR4" i="2"/>
  <c r="AM4" i="2"/>
  <c r="AG4" i="2"/>
  <c r="AB4" i="2"/>
  <c r="W4" i="2"/>
  <c r="Q4" i="2"/>
  <c r="L4" i="2"/>
  <c r="G4" i="2"/>
  <c r="AT3" i="2"/>
  <c r="AO3" i="2"/>
  <c r="AJ3" i="2"/>
  <c r="AD3" i="2"/>
  <c r="Y3" i="2"/>
  <c r="T3" i="2"/>
  <c r="N3" i="2"/>
  <c r="I3" i="2"/>
  <c r="D3" i="2"/>
  <c r="AQ2" i="2"/>
  <c r="AL2" i="2"/>
  <c r="AG2" i="2"/>
  <c r="AA2" i="2"/>
  <c r="V2" i="2"/>
  <c r="Q2" i="2"/>
  <c r="K2" i="2"/>
  <c r="F2" i="2"/>
  <c r="J2" i="2"/>
  <c r="G52" i="2"/>
  <c r="P38" i="2"/>
  <c r="AP36" i="2"/>
  <c r="Y35" i="2"/>
  <c r="AA34" i="2"/>
  <c r="AC33" i="2"/>
  <c r="AF32" i="2"/>
  <c r="AH31" i="2"/>
  <c r="AJ30" i="2"/>
  <c r="AM29" i="2"/>
  <c r="F29" i="2"/>
  <c r="S28" i="2"/>
  <c r="AF27" i="2"/>
  <c r="AS26" i="2"/>
  <c r="M26" i="2"/>
  <c r="Z25" i="2"/>
  <c r="AM24" i="2"/>
  <c r="G24" i="2"/>
  <c r="T23" i="2"/>
  <c r="AG22" i="2"/>
  <c r="AT21" i="2"/>
  <c r="N21" i="2"/>
  <c r="AA20" i="2"/>
  <c r="AN19" i="2"/>
  <c r="H19" i="2"/>
  <c r="U18" i="2"/>
  <c r="R17" i="2"/>
  <c r="AO16" i="2"/>
  <c r="Y16" i="2"/>
  <c r="I16" i="2"/>
  <c r="AL15" i="2"/>
  <c r="V15" i="2"/>
  <c r="F15" i="2"/>
  <c r="AI14" i="2"/>
  <c r="K14" i="2"/>
  <c r="AN13" i="2"/>
  <c r="X13" i="2"/>
  <c r="H13" i="2"/>
  <c r="AK12" i="2"/>
  <c r="U12" i="2"/>
  <c r="E12" i="2"/>
  <c r="AH11" i="2"/>
  <c r="R11" i="2"/>
  <c r="AU10" i="2"/>
  <c r="AE10" i="2"/>
  <c r="O10" i="2"/>
  <c r="AR9" i="2"/>
  <c r="AB9" i="2"/>
  <c r="L9" i="2"/>
  <c r="AO8" i="2"/>
  <c r="Y8" i="2"/>
  <c r="I8" i="2"/>
  <c r="AL7" i="2"/>
  <c r="V7" i="2"/>
  <c r="F7" i="2"/>
  <c r="AQ6" i="2"/>
  <c r="AA6" i="2"/>
  <c r="K6" i="2"/>
  <c r="AH5" i="2"/>
  <c r="W5" i="2"/>
  <c r="L5" i="2"/>
  <c r="AU4" i="2"/>
  <c r="AJ4" i="2"/>
  <c r="Y4" i="2"/>
  <c r="T4" i="2"/>
  <c r="I4" i="2"/>
  <c r="AL3" i="2"/>
  <c r="AB3" i="2"/>
  <c r="L3" i="2"/>
  <c r="AT2" i="2"/>
  <c r="AI2" i="2"/>
  <c r="Y2" i="2"/>
  <c r="N2" i="2"/>
  <c r="I2" i="2"/>
  <c r="K50" i="2"/>
  <c r="AB37" i="2"/>
  <c r="I36" i="2"/>
  <c r="AU34" i="2"/>
  <c r="D34" i="2"/>
  <c r="G33" i="2"/>
  <c r="AG31" i="2"/>
  <c r="AI30" i="2"/>
  <c r="AK29" i="2"/>
  <c r="E29" i="2"/>
  <c r="R28" i="2"/>
  <c r="AE27" i="2"/>
  <c r="AR26" i="2"/>
  <c r="L26" i="2"/>
  <c r="I25" i="2"/>
  <c r="V24" i="2"/>
  <c r="AI23" i="2"/>
  <c r="C23" i="2"/>
  <c r="P22" i="2"/>
  <c r="AC21" i="2"/>
  <c r="AP20" i="2"/>
  <c r="J20" i="2"/>
  <c r="W19" i="2"/>
  <c r="AJ18" i="2"/>
  <c r="D18" i="2"/>
  <c r="Q17" i="2"/>
  <c r="C17" i="2"/>
  <c r="AF16" i="2"/>
  <c r="P16" i="2"/>
  <c r="H16" i="2"/>
  <c r="AK15" i="2"/>
  <c r="U15" i="2"/>
  <c r="M15" i="2"/>
  <c r="AP14" i="2"/>
  <c r="Z14" i="2"/>
  <c r="J14" i="2"/>
  <c r="AM13" i="2"/>
  <c r="W13" i="2"/>
  <c r="G13" i="2"/>
  <c r="AJ12" i="2"/>
  <c r="T12" i="2"/>
  <c r="D12" i="2"/>
  <c r="AG11" i="2"/>
  <c r="Q11" i="2"/>
  <c r="AT10" i="2"/>
  <c r="AD10" i="2"/>
  <c r="F10" i="2"/>
  <c r="AI9" i="2"/>
  <c r="S9" i="2"/>
  <c r="C9" i="2"/>
  <c r="AF8" i="2"/>
  <c r="P8" i="2"/>
  <c r="AS7" i="2"/>
  <c r="AC7" i="2"/>
  <c r="M7" i="2"/>
  <c r="AP6" i="2"/>
  <c r="Z6" i="2"/>
  <c r="J6" i="2"/>
  <c r="AM5" i="2"/>
  <c r="AF5" i="2"/>
  <c r="P5" i="2"/>
  <c r="F5" i="2"/>
  <c r="AN4" i="2"/>
  <c r="AC4" i="2"/>
  <c r="S4" i="2"/>
  <c r="H4" i="2"/>
  <c r="C4" i="2"/>
  <c r="AK3" i="2"/>
  <c r="Z3" i="2"/>
  <c r="U3" i="2"/>
  <c r="J3" i="2"/>
  <c r="AS2" i="2"/>
  <c r="AH2" i="2"/>
  <c r="W2" i="2"/>
  <c r="M2" i="2"/>
  <c r="T53" i="2"/>
  <c r="H51" i="2"/>
  <c r="M49" i="2"/>
  <c r="X47" i="2"/>
  <c r="E46" i="2"/>
  <c r="AE44" i="2"/>
  <c r="L43" i="2"/>
  <c r="AL41" i="2"/>
  <c r="AK40" i="2"/>
  <c r="E40" i="2"/>
  <c r="R39" i="2"/>
  <c r="AE38" i="2"/>
  <c r="AR37" i="2"/>
  <c r="L37" i="2"/>
  <c r="Y36" i="2"/>
  <c r="AL35" i="2"/>
  <c r="M35" i="2"/>
  <c r="AJ34" i="2"/>
  <c r="O34" i="2"/>
  <c r="AM33" i="2"/>
  <c r="Q33" i="2"/>
  <c r="AO32" i="2"/>
  <c r="T32" i="2"/>
  <c r="AQ31" i="2"/>
  <c r="V31" i="2"/>
  <c r="AT30" i="2"/>
  <c r="X30" i="2"/>
  <c r="C30" i="2"/>
  <c r="AC29" i="2"/>
  <c r="M29" i="2"/>
  <c r="AP28" i="2"/>
  <c r="Z28" i="2"/>
  <c r="J28" i="2"/>
  <c r="AM27" i="2"/>
  <c r="W27" i="2"/>
  <c r="G27" i="2"/>
  <c r="AJ26" i="2"/>
  <c r="T26" i="2"/>
  <c r="D26" i="2"/>
  <c r="AG25" i="2"/>
  <c r="Q25" i="2"/>
  <c r="AT24" i="2"/>
  <c r="AD24" i="2"/>
  <c r="N24" i="2"/>
  <c r="AQ23" i="2"/>
  <c r="AA23" i="2"/>
  <c r="K23" i="2"/>
  <c r="AN22" i="2"/>
  <c r="X22" i="2"/>
  <c r="H22" i="2"/>
  <c r="AK21" i="2"/>
  <c r="U21" i="2"/>
  <c r="E21" i="2"/>
  <c r="AH20" i="2"/>
  <c r="R20" i="2"/>
  <c r="AU19" i="2"/>
  <c r="AE19" i="2"/>
  <c r="O19" i="2"/>
  <c r="AR18" i="2"/>
  <c r="AB18" i="2"/>
  <c r="L18" i="2"/>
  <c r="AO17" i="2"/>
  <c r="Y17" i="2"/>
  <c r="I17" i="2"/>
  <c r="AR16" i="2"/>
  <c r="AJ16" i="2"/>
  <c r="AB16" i="2"/>
  <c r="T16" i="2"/>
  <c r="L16" i="2"/>
  <c r="D16" i="2"/>
  <c r="AO15" i="2"/>
  <c r="AG15" i="2"/>
  <c r="Y15" i="2"/>
  <c r="Q15" i="2"/>
  <c r="I15" i="2"/>
  <c r="AT14" i="2"/>
  <c r="AL14" i="2"/>
  <c r="AD14" i="2"/>
  <c r="V14" i="2"/>
  <c r="N14" i="2"/>
  <c r="F14" i="2"/>
  <c r="AQ13" i="2"/>
  <c r="AI13" i="2"/>
  <c r="AA13" i="2"/>
  <c r="S13" i="2"/>
  <c r="K13" i="2"/>
  <c r="C13" i="2"/>
  <c r="AN12" i="2"/>
  <c r="AF12" i="2"/>
  <c r="X12" i="2"/>
  <c r="P12" i="2"/>
  <c r="H12" i="2"/>
  <c r="AS11" i="2"/>
  <c r="AK11" i="2"/>
  <c r="AC11" i="2"/>
  <c r="U11" i="2"/>
  <c r="M11" i="2"/>
  <c r="E11" i="2"/>
  <c r="AP10" i="2"/>
  <c r="AH10" i="2"/>
  <c r="Z10" i="2"/>
  <c r="R10" i="2"/>
  <c r="J10" i="2"/>
  <c r="AU9" i="2"/>
  <c r="AM9" i="2"/>
  <c r="AE9" i="2"/>
  <c r="W9" i="2"/>
  <c r="O9" i="2"/>
  <c r="G9" i="2"/>
  <c r="AR8" i="2"/>
  <c r="AJ8" i="2"/>
  <c r="AB8" i="2"/>
  <c r="T8" i="2"/>
  <c r="L8" i="2"/>
  <c r="D8" i="2"/>
  <c r="AO7" i="2"/>
  <c r="AG7" i="2"/>
  <c r="Y7" i="2"/>
  <c r="Q7" i="2"/>
  <c r="I7" i="2"/>
  <c r="AT6" i="2"/>
  <c r="AL6" i="2"/>
  <c r="AD6" i="2"/>
  <c r="V6" i="2"/>
  <c r="N6" i="2"/>
  <c r="F6" i="2"/>
  <c r="AQ5" i="2"/>
  <c r="AI5" i="2"/>
  <c r="AD5" i="2"/>
  <c r="X5" i="2"/>
  <c r="S5" i="2"/>
  <c r="N5" i="2"/>
  <c r="H5" i="2"/>
  <c r="C5" i="2"/>
  <c r="AQ4" i="2"/>
  <c r="AK4" i="2"/>
  <c r="AF4" i="2"/>
  <c r="AA4" i="2"/>
  <c r="U4" i="2"/>
  <c r="P4" i="2"/>
  <c r="K4" i="2"/>
  <c r="E4" i="2"/>
  <c r="AS3" i="2"/>
  <c r="AN3" i="2"/>
  <c r="AH3" i="2"/>
  <c r="AC3" i="2"/>
  <c r="X3" i="2"/>
  <c r="R3" i="2"/>
  <c r="M3" i="2"/>
  <c r="H3" i="2"/>
  <c r="AU2" i="2"/>
  <c r="AP2" i="2"/>
  <c r="AK2" i="2"/>
  <c r="AE2" i="2"/>
  <c r="Z2" i="2"/>
  <c r="U2" i="2"/>
  <c r="O2" i="2"/>
  <c r="E2" i="2"/>
  <c r="L50" i="2"/>
  <c r="Q48" i="2"/>
  <c r="AL46" i="2"/>
  <c r="S45" i="2"/>
  <c r="AS43" i="2"/>
  <c r="Z42" i="2"/>
  <c r="I41" i="2"/>
  <c r="V40" i="2"/>
  <c r="AI39" i="2"/>
  <c r="C39" i="2"/>
  <c r="AC37" i="2"/>
  <c r="J36" i="2"/>
  <c r="C35" i="2"/>
  <c r="F34" i="2"/>
  <c r="H33" i="2"/>
  <c r="J32" i="2"/>
  <c r="M31" i="2"/>
  <c r="O30" i="2"/>
  <c r="V29" i="2"/>
  <c r="AI28" i="2"/>
  <c r="C28" i="2"/>
  <c r="P27" i="2"/>
  <c r="AC26" i="2"/>
  <c r="AP25" i="2"/>
  <c r="J25" i="2"/>
  <c r="W24" i="2"/>
  <c r="AJ23" i="2"/>
  <c r="D23" i="2"/>
  <c r="Q22" i="2"/>
  <c r="AD21" i="2"/>
  <c r="AQ20" i="2"/>
  <c r="K20" i="2"/>
  <c r="X19" i="2"/>
  <c r="AK18" i="2"/>
  <c r="E18" i="2"/>
  <c r="AH17" i="2"/>
  <c r="D17" i="2"/>
  <c r="AG16" i="2"/>
  <c r="Q16" i="2"/>
  <c r="AT15" i="2"/>
  <c r="AD15" i="2"/>
  <c r="N15" i="2"/>
  <c r="AQ14" i="2"/>
  <c r="AA14" i="2"/>
  <c r="S14" i="2"/>
  <c r="C14" i="2"/>
  <c r="AF13" i="2"/>
  <c r="P13" i="2"/>
  <c r="AS12" i="2"/>
  <c r="AC12" i="2"/>
  <c r="M12" i="2"/>
  <c r="AP11" i="2"/>
  <c r="Z11" i="2"/>
  <c r="J11" i="2"/>
  <c r="AM10" i="2"/>
  <c r="W10" i="2"/>
  <c r="G10" i="2"/>
  <c r="AJ9" i="2"/>
  <c r="T9" i="2"/>
  <c r="D9" i="2"/>
  <c r="AG8" i="2"/>
  <c r="Q8" i="2"/>
  <c r="AT7" i="2"/>
  <c r="AD7" i="2"/>
  <c r="N7" i="2"/>
  <c r="AI6" i="2"/>
  <c r="S6" i="2"/>
  <c r="C6" i="2"/>
  <c r="AN5" i="2"/>
  <c r="AB5" i="2"/>
  <c r="R5" i="2"/>
  <c r="G5" i="2"/>
  <c r="AO4" i="2"/>
  <c r="AE4" i="2"/>
  <c r="O4" i="2"/>
  <c r="D4" i="2"/>
  <c r="AR3" i="2"/>
  <c r="AG3" i="2"/>
  <c r="V3" i="2"/>
  <c r="Q3" i="2"/>
  <c r="F3" i="2"/>
  <c r="AO2" i="2"/>
  <c r="AD2" i="2"/>
  <c r="S2" i="2"/>
  <c r="C2" i="2"/>
  <c r="F52" i="2"/>
  <c r="O48" i="2"/>
  <c r="AK46" i="2"/>
  <c r="R45" i="2"/>
  <c r="AR43" i="2"/>
  <c r="Y42" i="2"/>
  <c r="H41" i="2"/>
  <c r="U40" i="2"/>
  <c r="AH39" i="2"/>
  <c r="AU38" i="2"/>
  <c r="O38" i="2"/>
  <c r="AO36" i="2"/>
  <c r="W35" i="2"/>
  <c r="Z34" i="2"/>
  <c r="AB33" i="2"/>
  <c r="AD32" i="2"/>
  <c r="I32" i="2"/>
  <c r="K31" i="2"/>
  <c r="N30" i="2"/>
  <c r="U29" i="2"/>
  <c r="AH28" i="2"/>
  <c r="AU27" i="2"/>
  <c r="O27" i="2"/>
  <c r="AB26" i="2"/>
  <c r="AO25" i="2"/>
  <c r="Y25" i="2"/>
  <c r="AL24" i="2"/>
  <c r="F24" i="2"/>
  <c r="S23" i="2"/>
  <c r="AF22" i="2"/>
  <c r="AS21" i="2"/>
  <c r="M21" i="2"/>
  <c r="Z20" i="2"/>
  <c r="AM19" i="2"/>
  <c r="G19" i="2"/>
  <c r="T18" i="2"/>
  <c r="AG17" i="2"/>
  <c r="AN16" i="2"/>
  <c r="X16" i="2"/>
  <c r="AS15" i="2"/>
  <c r="AC15" i="2"/>
  <c r="E15" i="2"/>
  <c r="AH14" i="2"/>
  <c r="R14" i="2"/>
  <c r="AU13" i="2"/>
  <c r="AE13" i="2"/>
  <c r="O13" i="2"/>
  <c r="AR12" i="2"/>
  <c r="AB12" i="2"/>
  <c r="L12" i="2"/>
  <c r="AO11" i="2"/>
  <c r="Y11" i="2"/>
  <c r="I11" i="2"/>
  <c r="AL10" i="2"/>
  <c r="V10" i="2"/>
  <c r="N10" i="2"/>
  <c r="AQ9" i="2"/>
  <c r="AA9" i="2"/>
  <c r="K9" i="2"/>
  <c r="AN8" i="2"/>
  <c r="X8" i="2"/>
  <c r="H8" i="2"/>
  <c r="AK7" i="2"/>
  <c r="U7" i="2"/>
  <c r="E7" i="2"/>
  <c r="AH6" i="2"/>
  <c r="R6" i="2"/>
  <c r="AU5" i="2"/>
  <c r="AA5" i="2"/>
  <c r="V5" i="2"/>
  <c r="K5" i="2"/>
  <c r="AS4" i="2"/>
  <c r="AI4" i="2"/>
  <c r="X4" i="2"/>
  <c r="M4" i="2"/>
  <c r="AP3" i="2"/>
  <c r="AF3" i="2"/>
  <c r="P3" i="2"/>
  <c r="E3" i="2"/>
  <c r="AM2" i="2"/>
  <c r="AC2" i="2"/>
  <c r="R2" i="2"/>
  <c r="G2" i="2"/>
</calcChain>
</file>

<file path=xl/comments1.xml><?xml version="1.0" encoding="utf-8"?>
<comments xmlns="http://schemas.openxmlformats.org/spreadsheetml/2006/main">
  <authors>
    <author>dora ramirez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dora ramirez:</t>
        </r>
        <r>
          <rPr>
            <sz val="9"/>
            <color indexed="81"/>
            <rFont val="Tahoma"/>
            <family val="2"/>
          </rPr>
          <t xml:space="preserve">
Nombre del ente público que corresponda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dora ramirez:</t>
        </r>
        <r>
          <rPr>
            <sz val="9"/>
            <color indexed="81"/>
            <rFont val="Tahoma"/>
            <family val="2"/>
          </rPr>
          <t xml:space="preserve">
 Fecha del 1 de Enero al periodo que se este informando.</t>
        </r>
      </text>
    </comment>
  </commentList>
</comments>
</file>

<file path=xl/sharedStrings.xml><?xml version="1.0" encoding="utf-8"?>
<sst xmlns="http://schemas.openxmlformats.org/spreadsheetml/2006/main" count="800" uniqueCount="559">
  <si>
    <t>GOBIERNO DEL ESTADO DE SONORA</t>
  </si>
  <si>
    <t>Modificado</t>
  </si>
  <si>
    <t>Devengado</t>
  </si>
  <si>
    <t>Transferencias, Asignaciones, Subsidios y Otras Ayudas</t>
  </si>
  <si>
    <t>Transferencias al Resto del Sector Público</t>
  </si>
  <si>
    <t>Subsidios y Subvenciones</t>
  </si>
  <si>
    <t>Donativos</t>
  </si>
  <si>
    <t>Participaciones y Aportaciones</t>
  </si>
  <si>
    <t>Participaciones</t>
  </si>
  <si>
    <t>Aportaciones</t>
  </si>
  <si>
    <t>Convenios</t>
  </si>
  <si>
    <t>Capítulo del Gasto</t>
  </si>
  <si>
    <t/>
  </si>
  <si>
    <t>1000</t>
  </si>
  <si>
    <t>2000</t>
  </si>
  <si>
    <t>3000</t>
  </si>
  <si>
    <t>4000</t>
  </si>
  <si>
    <t>5000</t>
  </si>
  <si>
    <t>8000</t>
  </si>
  <si>
    <t>9000</t>
  </si>
  <si>
    <t xml:space="preserve">
Aprobado 1er Trim</t>
  </si>
  <si>
    <t xml:space="preserve">
Aprobado 2do Trim</t>
  </si>
  <si>
    <t xml:space="preserve">
Aprobado 3er Trim</t>
  </si>
  <si>
    <t xml:space="preserve">
Aprobado 4to Trim</t>
  </si>
  <si>
    <t xml:space="preserve">
Ampliaciones</t>
  </si>
  <si>
    <t xml:space="preserve">
(Reducciones)</t>
  </si>
  <si>
    <t xml:space="preserve">
Presupuesto Modificado</t>
  </si>
  <si>
    <t xml:space="preserve">
Presupuesto
Modificado 1er Trim</t>
  </si>
  <si>
    <t xml:space="preserve">
Presupuesto
Modificado 2do Trim</t>
  </si>
  <si>
    <t xml:space="preserve">
Presupuesto
Modificado 3er Trim</t>
  </si>
  <si>
    <t xml:space="preserve">
Presupuesto
Modificado 4to Trim</t>
  </si>
  <si>
    <t xml:space="preserve">
Pre Compromisos</t>
  </si>
  <si>
    <t xml:space="preserve">
Presupuesto Vigente
sin pre-compremeter</t>
  </si>
  <si>
    <t xml:space="preserve">
Comprometido</t>
  </si>
  <si>
    <t xml:space="preserve">
Pre-compromisos
sin comprometer</t>
  </si>
  <si>
    <t xml:space="preserve">
Presupuesto disponible
para comprometer
del período</t>
  </si>
  <si>
    <t xml:space="preserve">
Devengado</t>
  </si>
  <si>
    <t xml:space="preserve">
Devengado 1er Trim</t>
  </si>
  <si>
    <t xml:space="preserve">
Devengado 2do Trim</t>
  </si>
  <si>
    <t xml:space="preserve">
Devengado 3er Trim</t>
  </si>
  <si>
    <t xml:space="preserve">
Devengado 4to Trim</t>
  </si>
  <si>
    <t xml:space="preserve">
Compromisos
sin devengar</t>
  </si>
  <si>
    <t xml:space="preserve">
Presupuesto
vigente
sin devengar</t>
  </si>
  <si>
    <t xml:space="preserve">
Ejercido</t>
  </si>
  <si>
    <t xml:space="preserve">
Ejercido 1er Trim</t>
  </si>
  <si>
    <t xml:space="preserve">
Ejercido 2do Trim</t>
  </si>
  <si>
    <t xml:space="preserve">
Ejercido 3er Trim</t>
  </si>
  <si>
    <t xml:space="preserve">
Ejercido 4to Trim</t>
  </si>
  <si>
    <t xml:space="preserve">
Devengado 
sin ejercer</t>
  </si>
  <si>
    <t xml:space="preserve">
Pagado</t>
  </si>
  <si>
    <t xml:space="preserve">
Pagado 1er Trim</t>
  </si>
  <si>
    <t xml:space="preserve">
Pagado 2do Trim</t>
  </si>
  <si>
    <t xml:space="preserve">
Pagado 3er Trim</t>
  </si>
  <si>
    <t xml:space="preserve">
Pagado 4to Trim</t>
  </si>
  <si>
    <t xml:space="preserve">
Ejercido 
sin Pagar</t>
  </si>
  <si>
    <t xml:space="preserve">
Subejercicios</t>
  </si>
  <si>
    <t xml:space="preserve">
Presupuesto
Modificado Anual</t>
  </si>
  <si>
    <t xml:space="preserve">
Avance Devengado vs
Aprobado del Período</t>
  </si>
  <si>
    <t xml:space="preserve">
Avance Devengado vs
Aprobado Anual</t>
  </si>
  <si>
    <t xml:space="preserve">
Devengado
Ant</t>
  </si>
  <si>
    <t xml:space="preserve">
Variación 
    %</t>
  </si>
  <si>
    <t xml:space="preserve">
Variación 
Nominal</t>
  </si>
  <si>
    <t xml:space="preserve">
Variación 
    Real</t>
  </si>
  <si>
    <t xml:space="preserve">
Aprobado</t>
  </si>
  <si>
    <t xml:space="preserve">
Ampliaciones - Reducciones</t>
  </si>
  <si>
    <t>Concepto del Gasto</t>
  </si>
  <si>
    <t>1100</t>
  </si>
  <si>
    <t>1200</t>
  </si>
  <si>
    <t>1300</t>
  </si>
  <si>
    <t>1400</t>
  </si>
  <si>
    <t>1500</t>
  </si>
  <si>
    <t>2100</t>
  </si>
  <si>
    <t>2200</t>
  </si>
  <si>
    <t>2400</t>
  </si>
  <si>
    <t>2600</t>
  </si>
  <si>
    <t>2700</t>
  </si>
  <si>
    <t>3100</t>
  </si>
  <si>
    <t>3200</t>
  </si>
  <si>
    <t>3300</t>
  </si>
  <si>
    <t>3400</t>
  </si>
  <si>
    <t>3500</t>
  </si>
  <si>
    <t>3700</t>
  </si>
  <si>
    <t>4100</t>
  </si>
  <si>
    <t>5100</t>
  </si>
  <si>
    <t>8100</t>
  </si>
  <si>
    <t>8300</t>
  </si>
  <si>
    <t>9100</t>
  </si>
  <si>
    <t>9900</t>
  </si>
  <si>
    <t>Resultado</t>
  </si>
  <si>
    <t>Resultado total</t>
  </si>
  <si>
    <t>6000</t>
  </si>
  <si>
    <t>6100</t>
  </si>
  <si>
    <t>1700</t>
  </si>
  <si>
    <t>2500</t>
  </si>
  <si>
    <t>2900</t>
  </si>
  <si>
    <t>3600</t>
  </si>
  <si>
    <t>3800</t>
  </si>
  <si>
    <t>3900</t>
  </si>
  <si>
    <t>4200</t>
  </si>
  <si>
    <t>4400</t>
  </si>
  <si>
    <t>5800</t>
  </si>
  <si>
    <t>8500</t>
  </si>
  <si>
    <t>9600</t>
  </si>
  <si>
    <t>2017</t>
  </si>
  <si>
    <t>1600</t>
  </si>
  <si>
    <t>2300</t>
  </si>
  <si>
    <t>2800</t>
  </si>
  <si>
    <t>4300</t>
  </si>
  <si>
    <t>4600</t>
  </si>
  <si>
    <t>5200</t>
  </si>
  <si>
    <t>5300</t>
  </si>
  <si>
    <t>5400</t>
  </si>
  <si>
    <t>5500</t>
  </si>
  <si>
    <t>5600</t>
  </si>
  <si>
    <t>5900</t>
  </si>
  <si>
    <t>6200</t>
  </si>
  <si>
    <t>7000</t>
  </si>
  <si>
    <t>7900</t>
  </si>
  <si>
    <t>9200</t>
  </si>
  <si>
    <t>9300</t>
  </si>
  <si>
    <t>9400</t>
  </si>
  <si>
    <t>9500</t>
  </si>
  <si>
    <t>4500</t>
  </si>
  <si>
    <t>25/01/2018 14:02:05</t>
  </si>
  <si>
    <t>1..16</t>
  </si>
  <si>
    <t>Estado Analítico de Ingresos por Rubro</t>
  </si>
  <si>
    <t>Rubro de Ingresos</t>
  </si>
  <si>
    <t>CRI</t>
  </si>
  <si>
    <t>Ingreso</t>
  </si>
  <si>
    <t>Estimado</t>
  </si>
  <si>
    <t>Ampliaciones y 
Reducciones</t>
  </si>
  <si>
    <t>Recaudado</t>
  </si>
  <si>
    <t>Diferencia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</si>
  <si>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</si>
  <si>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</si>
  <si>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</si>
  <si>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</si>
  <si>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</si>
  <si>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</si>
  <si>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</si>
  <si>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</si>
  <si>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</si>
  <si>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</si>
  <si>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</si>
  <si>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</si>
  <si>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</si>
  <si>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</si>
  <si>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</si>
  <si>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Ingresos Derivados de Financiamientos</t>
  </si>
  <si>
    <t>Total</t>
  </si>
  <si>
    <r>
      <rPr>
        <vertAlign val="superscript"/>
        <sz val="11"/>
        <color theme="1"/>
        <rFont val="Arial Narrow"/>
        <family val="2"/>
      </rPr>
      <t>1</t>
    </r>
    <r>
      <rPr>
        <sz val="10"/>
        <rFont val="Arial Narrow"/>
        <family val="2"/>
      </rPr>
      <t xml:space="preserve"> Los ingresos excedentes se presentan para efectos de cumplimiento de la Ley General de Contabilidad Gubernamental y el importe reflejado debe ser siempre mayor a cero.</t>
    </r>
  </si>
  <si>
    <r>
      <t xml:space="preserve">Ingresos excedentes </t>
    </r>
    <r>
      <rPr>
        <b/>
        <vertAlign val="superscript"/>
        <sz val="9"/>
        <color theme="1"/>
        <rFont val="Arial Narrow"/>
        <family val="2"/>
      </rPr>
      <t>1</t>
    </r>
  </si>
  <si>
    <t>30/01/2018</t>
  </si>
  <si>
    <t>Estado Analítico de Ingresos por Fuente de Financiamiento</t>
  </si>
  <si>
    <t>Ingresos del Gobierno</t>
  </si>
  <si>
    <t>Recursos Fiscales</t>
  </si>
  <si>
    <t>Ingresos Propios</t>
  </si>
  <si>
    <t>Recursos Federales</t>
  </si>
  <si>
    <t>Financiamiento Interno</t>
  </si>
  <si>
    <t>Recursos Propios</t>
  </si>
  <si>
    <t>Recursos Estatales</t>
  </si>
  <si>
    <t>Otros Recursos</t>
  </si>
  <si>
    <t>Ingresos de Organismos y Empresas</t>
  </si>
  <si>
    <t>Cuotas y aportaciones de Seguridad Social</t>
  </si>
  <si>
    <t>Ingresos Derivados de Financiamiento</t>
  </si>
  <si>
    <t>Financiamientos internos</t>
  </si>
  <si>
    <t>SUBSECRETARIA DE INGRESOS</t>
  </si>
  <si>
    <t>COMPARATIVO DE INGRESOS DE ENERO A DICIEMBRE 2017</t>
  </si>
  <si>
    <t>RUBRO</t>
  </si>
  <si>
    <t>PRESUPUESTO</t>
  </si>
  <si>
    <t>RECAUDADO</t>
  </si>
  <si>
    <t>POR ALCANZAR</t>
  </si>
  <si>
    <t>% AVANCE</t>
  </si>
  <si>
    <t>IMPUESTOS</t>
  </si>
  <si>
    <t>DERECHOS</t>
  </si>
  <si>
    <t>PRODUCTOS</t>
  </si>
  <si>
    <t>APROVECHAMIENTOS</t>
  </si>
  <si>
    <t>TOTAL INGRESOS FISCALES ESTATALES</t>
  </si>
  <si>
    <t>INGRESOS POR VENTA DE BIENES Y SERVICIOS</t>
  </si>
  <si>
    <t>PARTICIPACIONES Y APORTACIONES FEDERALES</t>
  </si>
  <si>
    <t>TRANSFERENCIAS, ASIGNACIONES, SUBSIDIOS Y OTRAS AYUDAS</t>
  </si>
  <si>
    <t>INGRESOS DERIVADOS DE FINANCIMIENTOS</t>
  </si>
  <si>
    <t xml:space="preserve">TOTAL  INGRESOS  </t>
  </si>
  <si>
    <t>Impuesto Estatal Sobre los Ingresos Derivados por la Obtención de Premios.</t>
  </si>
  <si>
    <t>Impuesto Sobre Traslación de Dominio de Bienes Muebles.</t>
  </si>
  <si>
    <t>Impuestos General al Comercio, Industria y Prestación de Servicios.</t>
  </si>
  <si>
    <t>Impuesto Estatal por La Prestación de Servicios de Juegos con Apuestas y Concursos</t>
  </si>
  <si>
    <t xml:space="preserve">Impuesto por la Prestación de Servicios de Hospedaje </t>
  </si>
  <si>
    <t>Impuesto Sobre Remuneraciones al Trabajo Personal.</t>
  </si>
  <si>
    <t>Accesorios</t>
  </si>
  <si>
    <t>Recargos</t>
  </si>
  <si>
    <t>Multas</t>
  </si>
  <si>
    <t>Gastos de ejecución</t>
  </si>
  <si>
    <t>Impuesto para el Sostenimiento de la Universidades de Sonora.</t>
  </si>
  <si>
    <t>Contribuciones para el Consejo Estatal de Concertación para la Obra Pública</t>
  </si>
  <si>
    <t xml:space="preserve">Contribución  para  el  Fortalecimiento  de  la Infraestructura Educativa </t>
  </si>
  <si>
    <t xml:space="preserve">Contribución  para  el  Fortalecimiento  y Sostenimiento para la Cruz Roja  </t>
  </si>
  <si>
    <t>Impuestos no comprendidos en las fracciones de la Ley de Ingresos causados en ejercicios fiscales anteriores pendientes de liquidación o pago</t>
  </si>
  <si>
    <t>Derechos por el uso, goce, aprovechamiento o explotación de bienes del dominio público.</t>
  </si>
  <si>
    <t>Concesiones de Bienes Inmuebles.</t>
  </si>
  <si>
    <t>Arrendamiento de Bienes Inmuebles.</t>
  </si>
  <si>
    <t>Derechos por Prestación de Servicios</t>
  </si>
  <si>
    <t>Por servicios de expedición y revalidación de licencias para la venta de bebidas con contenido alcohólico.</t>
  </si>
  <si>
    <t>Por expedición de licencias para la venta de bebidas con contenido alcohólico</t>
  </si>
  <si>
    <t>Por revalidación de licencias para la venta de bebidas con contenido alcohólico</t>
  </si>
  <si>
    <t>Por otros servicios de la Dirección General de Alcoholes</t>
  </si>
  <si>
    <t>Canje de licencias de alcoholes</t>
  </si>
  <si>
    <t>Por servicios de ganadería.</t>
  </si>
  <si>
    <t>Por producción ganadera</t>
  </si>
  <si>
    <t>Por producción apícola</t>
  </si>
  <si>
    <t>Por clasificación de carnes</t>
  </si>
  <si>
    <t>Por acreditación de expendio de carnes clasificadas</t>
  </si>
  <si>
    <t>Por servicio de expedición e inscripción de títulos y autorización para ejercer cualquier profesión o especialidad.</t>
  </si>
  <si>
    <t>Por expedición de títulos profesionales en el Estado</t>
  </si>
  <si>
    <t>Por inscripción de títulos profesionales expedidos por otros Estados.</t>
  </si>
  <si>
    <t>Por autorización para ejercer cualquier profesión o especialidad y prórrogas que se otorguen</t>
  </si>
  <si>
    <t>Por servicios de certificaciones, constancias y autorizaciones</t>
  </si>
  <si>
    <t>Por servicios de expedición, reposición y revalidación anual de cédula para acreditar la inscripción en el Registro Único de Personas acreditadas.</t>
  </si>
  <si>
    <t>Por servicios de constancias de Archivo, Anuencias y Certificaciones</t>
  </si>
  <si>
    <t>Por servicios de reproducción de documentos de conformidad con la Ley de Acceso a la Información Pública.</t>
  </si>
  <si>
    <t>Por servicios prestados por la Dirección General de Notarias del Estado</t>
  </si>
  <si>
    <t>Por servicios de documentación y archivo</t>
  </si>
  <si>
    <t>Por servicios de publicación y suscripciones en el Boletín Oficial</t>
  </si>
  <si>
    <t>Por servicios de publicación</t>
  </si>
  <si>
    <t>Por suscripciones  y venta unitaria de Boletines Oficiales</t>
  </si>
  <si>
    <t>Por copias,  certificaciones y otros servicios</t>
  </si>
  <si>
    <t>Por servicios de expedición de placas de vehículos, revalidaciones, licencias para conducir y permisos.</t>
  </si>
  <si>
    <t xml:space="preserve">Por expedición de placas de circulación </t>
  </si>
  <si>
    <t>Por revalidación de placas de circulación</t>
  </si>
  <si>
    <t>Por expedición de licencias de conducir</t>
  </si>
  <si>
    <t>Otros servicios vehiculares</t>
  </si>
  <si>
    <t>Por Expedición de Tarjeta de Circulacion</t>
  </si>
  <si>
    <t>Verificacion de Pedimento de Importacion y/o Factura</t>
  </si>
  <si>
    <t>Verificacion de Serie</t>
  </si>
  <si>
    <t>Por servicios en materia de autotransporte y otros</t>
  </si>
  <si>
    <t>Por expedición o adjudicación de concesiones</t>
  </si>
  <si>
    <t>Por revisión anual de concesión</t>
  </si>
  <si>
    <t>Por expedición de permisos</t>
  </si>
  <si>
    <t>Por otros servicios en materia de autotransporte</t>
  </si>
  <si>
    <t>Por servicios del Registro Público de la Propiedad y del Comercio</t>
  </si>
  <si>
    <t>Servicios ordinarios</t>
  </si>
  <si>
    <t>Servicios urgentes</t>
  </si>
  <si>
    <t>Por servicios del Registro Civil</t>
  </si>
  <si>
    <t>Por servicios prestados por el Instituto Catastral y Registral, Secretaría de Infraestructura y Desarrollo Urbano, Comisión de Ecología y Desarrollo Sustentable, Secretaría de Salud Pública y Secretaría de Educación y Cultura</t>
  </si>
  <si>
    <t>Por servicios catastrales</t>
  </si>
  <si>
    <t>Por servicios prestados por la Secretaría de Infraestructura y Desarrollo Urbano</t>
  </si>
  <si>
    <t>Por servicios prestados por la Comisión de Ecología y Desarrollo Sustentable</t>
  </si>
  <si>
    <t xml:space="preserve">Por servicios prestados por la Secretaría de Salud </t>
  </si>
  <si>
    <t>Por servicios prestados por la Secretaría de Educación y Cultura</t>
  </si>
  <si>
    <t>Por servicios prestados por el Secretario Ejecutivo de Seguridad Pública</t>
  </si>
  <si>
    <t>Por servicio prestados por la Secretaria de la Contraloría General.</t>
  </si>
  <si>
    <t>Por servicios prestados por la Unidad Estatal de Protección Civil</t>
  </si>
  <si>
    <t>Por servicios prestados por la Procuraduria General de Justicia del Estado</t>
  </si>
  <si>
    <t>Otros Servicios</t>
  </si>
  <si>
    <t>Derechos no comprendidos en las fracciones de la Ley de Ingresos causados en ejercicios fiscales anteriores pendientes de liquidación o pago.</t>
  </si>
  <si>
    <t>Productos de tipo corriente</t>
  </si>
  <si>
    <t>Derivados del Uso y Aprovechamiento de bienes no sujetos a régimen de dominio público.</t>
  </si>
  <si>
    <t>Enajenación de bienes muebles</t>
  </si>
  <si>
    <t>Arrendamiento de bienes inmuebles</t>
  </si>
  <si>
    <t>Utilidades, Dividendos e Intereses</t>
  </si>
  <si>
    <t>Otros productos de tipo corriente</t>
  </si>
  <si>
    <t>Productos de Capital</t>
  </si>
  <si>
    <t>Enajenación de bienes inmuebles no sujetos a régimen de dominio público</t>
  </si>
  <si>
    <t>Enajenación de bienes muebles  sujetos a inventarios</t>
  </si>
  <si>
    <t>Venta de acciones y valores</t>
  </si>
  <si>
    <t>Productos no comprendidos en las fracciones de la Ley de Ingresos causados en ejercicios fiscales anteriores pendientes de liquidación o pago</t>
  </si>
  <si>
    <t>Aprovechamientos de tipo corriente</t>
  </si>
  <si>
    <t>Incentivos derivados de la colaboración fiscal</t>
  </si>
  <si>
    <t>Actos de fiscalización sobre impuestos federales</t>
  </si>
  <si>
    <t>Notificación y cobranza de impuestos federales</t>
  </si>
  <si>
    <t>Creditos Fiscales Transferidos</t>
  </si>
  <si>
    <t>Incentivos económicos por recaudación del Impuesto Sobre la Renta derivado de la enajenación de terrenos y construcciones.</t>
  </si>
  <si>
    <t>Por actos en materia de comercio exterior.</t>
  </si>
  <si>
    <t>Impuesto Sobre Automóviles Nuevos.</t>
  </si>
  <si>
    <t>Fondo de Compensación para el resarcimiento por disminución del Impuesto Sobre Automóviles Nuevos</t>
  </si>
  <si>
    <t>Fondo de compesacion del Regimen de Pequeños Contribuyentes</t>
  </si>
  <si>
    <t>Impuesto Especial sobre Producción y Servicios a la Gasolina y Diesel, Artículo 2° A, fracción II</t>
  </si>
  <si>
    <t>Por funciones operativas de administración de los derechos federales en materia de vida silvestre</t>
  </si>
  <si>
    <t>Por funciones operativas de administración de los derechos por pesca deportiva y recreativa</t>
  </si>
  <si>
    <t>Incentivos económicos por recaudación de derechos federales por la inspección y vigilancia de obras públicas</t>
  </si>
  <si>
    <t>Multas federales no fiscales</t>
  </si>
  <si>
    <t xml:space="preserve">Incentivo economico derivado de la Zona Federal Maritimo Terrestre </t>
  </si>
  <si>
    <t>Incentivos del regimen de incorporacion fiscal</t>
  </si>
  <si>
    <t>Multas administrativas estatales</t>
  </si>
  <si>
    <t>Multas federales</t>
  </si>
  <si>
    <t>Indemnizaciones</t>
  </si>
  <si>
    <t>Reintegros</t>
  </si>
  <si>
    <t>Reintegros de sueldos y prestaciones laborales</t>
  </si>
  <si>
    <t>Aprovechamientos Provenientes de Obras Publicas</t>
  </si>
  <si>
    <t>Recargos federales</t>
  </si>
  <si>
    <t>Otros reintegros</t>
  </si>
  <si>
    <t>Herencias vacantes</t>
  </si>
  <si>
    <t>Aprovechamientos por Cooperaciones</t>
  </si>
  <si>
    <t>Ingresos provenientes de ejercicios fiscales anteriores</t>
  </si>
  <si>
    <t>Otros Aprovechamientos</t>
  </si>
  <si>
    <t>Venta de bases de licitación</t>
  </si>
  <si>
    <t>Ingresos por pólizas de seguros</t>
  </si>
  <si>
    <t>Holograma Only Sonora</t>
  </si>
  <si>
    <t>Cuotas condominales</t>
  </si>
  <si>
    <t>Ajuste por redondeo en bancos</t>
  </si>
  <si>
    <t>Aprovechamientos diversos</t>
  </si>
  <si>
    <t>Ingreso derivado del estimulo fiscal de ISR</t>
  </si>
  <si>
    <t>Aportaciones voluntarias</t>
  </si>
  <si>
    <t>Otros aprovechamientos</t>
  </si>
  <si>
    <t>Aprovechamientos de Capital</t>
  </si>
  <si>
    <t>Aprovechamientos no comprendidos en las fracciones de la Ley de Ingresos causados en ejercicios fiscales anteriores pendientes de liquidación o pago</t>
  </si>
  <si>
    <t>Mantenimiento y conservación del Programa Urbano Multifinalitario y del Catastro</t>
  </si>
  <si>
    <t>PARTICIPACIONES Y APORTACIONES</t>
  </si>
  <si>
    <t>Fondo General de Participaciones</t>
  </si>
  <si>
    <t>Fondo de Fiscalización</t>
  </si>
  <si>
    <t>Fondo de Fomento Municipal</t>
  </si>
  <si>
    <t>Fondo de Impuestos Especiales sobre Producción y Servicios</t>
  </si>
  <si>
    <t>Participación ISR retenido a personal subsordinado  a dependencias de la entidad federativa, mpios. y organismos.</t>
  </si>
  <si>
    <t>Fondo de Aportaciones para la Nómina Educativa y Gasto Operativo</t>
  </si>
  <si>
    <t>Otro de Gasto Corriente</t>
  </si>
  <si>
    <t xml:space="preserve">Gasto de Operación </t>
  </si>
  <si>
    <t xml:space="preserve">Fondo de Compensacion </t>
  </si>
  <si>
    <t xml:space="preserve">Servicios Personales </t>
  </si>
  <si>
    <t>Fondo de Aportaciones para los Servicios de Salud</t>
  </si>
  <si>
    <t>Fondo de Aportaciones para la Infraestructura Social</t>
  </si>
  <si>
    <t>Fondo para la Infraestructura Social Municipal</t>
  </si>
  <si>
    <t>Fondo para la Infraestructura Social Estatal</t>
  </si>
  <si>
    <t>Fondo de Aportaciones para el Fortalecimiento de los Municipios y de las Demarcaciones Territoriales del Distrito Federal</t>
  </si>
  <si>
    <t>Fondo de Aportaciones Múltiples</t>
  </si>
  <si>
    <t>Asistencia Social .- DIF</t>
  </si>
  <si>
    <t>Infraestructura para Educación Básica</t>
  </si>
  <si>
    <t>Infraestructura para Educación Superior</t>
  </si>
  <si>
    <t>Infraestructura para Educación Media Superior</t>
  </si>
  <si>
    <t>Infraestructura para Educación Básica Potenciada</t>
  </si>
  <si>
    <t>Infraestructura para Educación Superior Potenciada</t>
  </si>
  <si>
    <t>Infraestructura para Educación Media Superior Potenciada</t>
  </si>
  <si>
    <t>Fondo de Aportaciones para la Seguridad Pública</t>
  </si>
  <si>
    <t>Fondo de Aportaciones para la Educación Tecnológica y de Adultos</t>
  </si>
  <si>
    <t>Educación Tecnológica</t>
  </si>
  <si>
    <t>Educación de Adultos</t>
  </si>
  <si>
    <t>Fondo de Aportaciones para el Fortalecimiento de las Entidades Federativas</t>
  </si>
  <si>
    <t>Convenios de Descentralización y Reasignación de Recursos</t>
  </si>
  <si>
    <t>Ingresos Propios de las Entidades Paraestatales</t>
  </si>
  <si>
    <t>Organismos Públicos  Descentralizados</t>
  </si>
  <si>
    <t>Financiera para el Desarrollo Economico de Sonora</t>
  </si>
  <si>
    <t>Instituto de Crédito Educativo del Estado de Sonora</t>
  </si>
  <si>
    <t>Instituto Tecnológico Superior de Puerto Peñasco</t>
  </si>
  <si>
    <t>Instituto Tecnológico Superior de Cananea</t>
  </si>
  <si>
    <t>Instituto Sonorense de Cultura</t>
  </si>
  <si>
    <t>Instituto Tecnológico Superior de Cajeme</t>
  </si>
  <si>
    <t>Biblioteca Publica Jesus Corral Ruiz</t>
  </si>
  <si>
    <t>Universidad Estatal de Sonora</t>
  </si>
  <si>
    <t>Comisión del deporte del Estado de Sonora</t>
  </si>
  <si>
    <t>Instituto de Capacitación para el Trabajo del Estado de Sonora</t>
  </si>
  <si>
    <t>Colegio de Bachilleres del Estado de Sonora</t>
  </si>
  <si>
    <t>Colegio de Estudios Científicos y Tecnológicos del Estado de Sonora</t>
  </si>
  <si>
    <t>Colegio de Educación Profesional Técnica del Estado de Sonora</t>
  </si>
  <si>
    <t>Instituto de Formación Docente del Estado de Sonora</t>
  </si>
  <si>
    <t>Instituto Sonorense de Infraestructura Educativa</t>
  </si>
  <si>
    <t>Universidad Tecnológica de Hermosillo</t>
  </si>
  <si>
    <t>Universidad Tecnológica de Nogales</t>
  </si>
  <si>
    <t>Universidad Tecnológica del Sur de Sonora</t>
  </si>
  <si>
    <t>Universidad de la Sierra</t>
  </si>
  <si>
    <t>Servicios de Salud de Sonora</t>
  </si>
  <si>
    <t>Sistema para el Desarrollo Integral de la Familia en el Estado de Sonora</t>
  </si>
  <si>
    <t>Comisión de Ecología y desarrollo Sustentable de Estado de Sonora</t>
  </si>
  <si>
    <t>Comisión Estatal de Agua</t>
  </si>
  <si>
    <t>Telefonía Rural de Sonora</t>
  </si>
  <si>
    <t>Instituto de Acuacultura del Estado de Sonora</t>
  </si>
  <si>
    <t>Radio Sonora</t>
  </si>
  <si>
    <t>Instituto Tecnológico de Sonora</t>
  </si>
  <si>
    <t>Instituto Sonorense de Educación para Adultos</t>
  </si>
  <si>
    <t>El Colegio de Sonora</t>
  </si>
  <si>
    <t>Instituto Superior de Seguridad Publica del Estado</t>
  </si>
  <si>
    <t>Junta de Caminos del Estado de Sonora</t>
  </si>
  <si>
    <t>Centro Cultural Musas</t>
  </si>
  <si>
    <t>Museo Sonora en la Revolucion</t>
  </si>
  <si>
    <t>Instituto Sonorese de la Juventud</t>
  </si>
  <si>
    <t>Universidad Tecnologica de Etchojoa</t>
  </si>
  <si>
    <t>Universidad Tecnologica de Puerto Peñasco</t>
  </si>
  <si>
    <t>Universidad Tecnologica de San Luis Rio Colorado</t>
  </si>
  <si>
    <t>Delfinario Sonora</t>
  </si>
  <si>
    <t>Fondo de Operación de Obras Sonora Si</t>
  </si>
  <si>
    <t>Centro de Evaluacion y Control de Confianza C-3</t>
  </si>
  <si>
    <t>Servicio de Administración y Enajenación de Entidades del Gobierno del Estado</t>
  </si>
  <si>
    <t>Sistema de Parques Industriales</t>
  </si>
  <si>
    <t>Procuraduria Ambiental  del Estado de Sonora</t>
  </si>
  <si>
    <t>Universidad Tecnológica de Guaymas</t>
  </si>
  <si>
    <t>Centro Regional de Formación Docente  e Investigación Educativa</t>
  </si>
  <si>
    <t>Servicios Educativos del Estado de Sonora</t>
  </si>
  <si>
    <t>Instituto de Becas y Estimulos Educativos del Estado de Sonora</t>
  </si>
  <si>
    <t>Comisión de Vivienda del Estado de Sonora</t>
  </si>
  <si>
    <t>Fondo Estatal para la Modernización del Transporte</t>
  </si>
  <si>
    <t>Consejo para la Promoción Economíca de Sonora</t>
  </si>
  <si>
    <t>Instituto Sonorense de la Mujer</t>
  </si>
  <si>
    <t>Centro Regional de Formación Profesional Docente de Sonora</t>
  </si>
  <si>
    <t>Consejo Estatal de Ciencia y Tecnología</t>
  </si>
  <si>
    <t>Fideicomisos</t>
  </si>
  <si>
    <t>Progreso, Fideicomiso Promotor Urbano de Sonora.</t>
  </si>
  <si>
    <t>Operador de Proyectos Estratégicos del Estado (IMPULSOR).</t>
  </si>
  <si>
    <t>Fondo Revolvente del Estado de Sonora</t>
  </si>
  <si>
    <t>Fideicomiso Puente Colorado</t>
  </si>
  <si>
    <t>Aportaciones de Seguridad Social</t>
  </si>
  <si>
    <t>Instituto de Seguridad y Servicios Sociales para los Trabajadores del Estado de Sonora</t>
  </si>
  <si>
    <t>Empresas de Participación Estatal Mayoritaria</t>
  </si>
  <si>
    <t>Televisora de Hermosillo, S. A. de C. V.</t>
  </si>
  <si>
    <t>Aportación Federal al Régimen Estatal de Protección Social en Salud</t>
  </si>
  <si>
    <t>Para alimentación de reos y dignificación penitenciaria. Socorro de Ley</t>
  </si>
  <si>
    <t>Programas Regionales</t>
  </si>
  <si>
    <t>Fondo para la Prevención de Desastres Naturales</t>
  </si>
  <si>
    <t>Subsidio para la Seguridad Pública Municipal</t>
  </si>
  <si>
    <t>Fondo de Pavimentación, Espacios Deportivos, Alumbrado Público</t>
  </si>
  <si>
    <t>Fondo para la Accesibilidad del Transporte Público para Personas con Discapacidad</t>
  </si>
  <si>
    <t>Proyectos de Desarrollo Regional</t>
  </si>
  <si>
    <t>Fideicomiso para Coadyuvar al Desarrollo de las Entidades Federativas y Municipios (FIDEM)</t>
  </si>
  <si>
    <t>Fondo de Desastres Naturales</t>
  </si>
  <si>
    <t xml:space="preserve">Fideicomiso para la Infraestructura en los Estados </t>
  </si>
  <si>
    <t>Subsidio a las Entidades Federativas para el Fortalecimiento de las Instituciones de Seguridad Publica para Mandos Policiales</t>
  </si>
  <si>
    <t>Fondo de Cultura</t>
  </si>
  <si>
    <t>Contingencias Economicas Inversión</t>
  </si>
  <si>
    <t>Fondo de Infraestructura Deportiva (2015)</t>
  </si>
  <si>
    <t>Fondo de Inversión para Entidades Federativas</t>
  </si>
  <si>
    <t>Fondo de Apoyo en Infrastructura y productividad</t>
  </si>
  <si>
    <t>Fondo para el fortalecimiento de la Infraestructura Estatal y Municipal</t>
  </si>
  <si>
    <t>Fondo para Fronteras</t>
  </si>
  <si>
    <t>Fondo de Apoyo a Migrantes</t>
  </si>
  <si>
    <t>Fondo de apoyo Minero</t>
  </si>
  <si>
    <t>Fortalecimiento Financiero</t>
  </si>
  <si>
    <t>Fondo para el Desarrollo Regional Sustentable de Estado y Municipios Mineros</t>
  </si>
  <si>
    <t>Subsidio a los municipios y Demarcaciones Territoriales del Distrito Federal y en su caso a las entidades federativas que ejerzan de manera directa o coordinada la funcion de seguridad publica (FORTASEG)</t>
  </si>
  <si>
    <t>Programa  R 120 Apoyo Federal</t>
  </si>
  <si>
    <t xml:space="preserve">Ayudas sociales </t>
  </si>
  <si>
    <t xml:space="preserve">Pensiones y Jubilaciones </t>
  </si>
  <si>
    <t>Transferencias a Fideicomisos, Mandatos y Análogos</t>
  </si>
  <si>
    <t>Proveniente de la explotación del Puente Federal de Peaje de San Luís Río Colorado</t>
  </si>
  <si>
    <t>INGRESOS DERIVADOS DE FINANCIAMIENTO</t>
  </si>
  <si>
    <t>Endeudamiento Interno</t>
  </si>
  <si>
    <t>Diferimiento de Pagos</t>
  </si>
  <si>
    <t>Créditos a corto plazo</t>
  </si>
  <si>
    <t>Créditos a largo plazo</t>
  </si>
  <si>
    <t>Endeudamiento Externo</t>
  </si>
  <si>
    <t>DIRECTOR GENERAL DE CONTABILIDAD GUBERNAMENTAL</t>
  </si>
  <si>
    <t>L.E.F. JOSE LUIS MUNDO RUIZ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</si>
  <si>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</si>
  <si>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</si>
  <si>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</si>
  <si>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</si>
  <si>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</si>
  <si>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</si>
  <si>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</si>
  <si>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</si>
  <si>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</si>
  <si>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</si>
  <si>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</si>
  <si>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</si>
  <si>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</si>
  <si>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</si>
  <si>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</si>
  <si>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</si>
  <si>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</si>
  <si>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</si>
  <si>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</si>
  <si>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</si>
  <si>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</si>
  <si>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</si>
  <si>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</si>
  <si>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</si>
  <si>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</si>
  <si>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</si>
  <si>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</si>
  <si>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</si>
  <si>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</si>
  <si>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</si>
  <si>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</si>
  <si>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</si>
  <si>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</si>
  <si>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</si>
  <si>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9"/>
        <color theme="1"/>
        <rFont val="Arial Narrow"/>
        <family val="2"/>
      </rPr>
      <t>1</t>
    </r>
    <r>
      <rPr>
        <b/>
        <sz val="9"/>
        <color theme="1"/>
        <rFont val="Arial Narrow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</si>
  <si>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</si>
  <si>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</si>
  <si>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</si>
  <si>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</si>
  <si>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</si>
  <si>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Concepto (c)</t>
  </si>
  <si>
    <t>(PESOS)</t>
  </si>
  <si>
    <t>Del 1 de Enero al 31 de Diciembre del 2017</t>
  </si>
  <si>
    <t>Balance Presupuestario - LDF</t>
  </si>
  <si>
    <t>4to Trimestre 2016</t>
  </si>
  <si>
    <t>12</t>
  </si>
  <si>
    <t>1</t>
  </si>
  <si>
    <t>Diciembre</t>
  </si>
  <si>
    <t>Enero</t>
  </si>
  <si>
    <t>14/02/2017</t>
  </si>
  <si>
    <t>1..12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</si>
  <si>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</si>
  <si>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</si>
  <si>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</si>
  <si>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</si>
  <si>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</si>
  <si>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</si>
  <si>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</si>
  <si>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</si>
  <si>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</si>
  <si>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</si>
  <si>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</si>
  <si>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</si>
  <si>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</si>
  <si>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</si>
  <si>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</si>
  <si>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</si>
  <si>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</si>
  <si>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</si>
  <si>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</si>
  <si>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</si>
  <si>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</si>
  <si>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</si>
  <si>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</si>
  <si>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</si>
  <si>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</si>
  <si>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</si>
  <si>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</si>
  <si>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</si>
  <si>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</si>
  <si>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</si>
  <si>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</si>
  <si>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</si>
  <si>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</si>
  <si>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</si>
  <si>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</si>
  <si>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</si>
  <si>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</si>
  <si>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</si>
  <si>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</si>
  <si>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</si>
  <si>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</si>
  <si>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</si>
  <si>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</si>
  <si>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</si>
  <si>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</si>
  <si>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</si>
  <si>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</si>
  <si>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</si>
  <si>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</si>
  <si>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</si>
  <si>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</si>
  <si>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</si>
  <si>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</si>
  <si>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</si>
  <si>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</si>
  <si>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</si>
  <si>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</si>
  <si>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</si>
  <si>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</si>
  <si>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</si>
  <si>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</si>
  <si>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</si>
  <si>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</si>
  <si>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</si>
  <si>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</si>
  <si>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Ampliaciones/ (Reducciones)</t>
  </si>
  <si>
    <t>Estimado (d)</t>
  </si>
  <si>
    <t>Diferencia (e)</t>
  </si>
  <si>
    <t>Estado Analítico de Ingresos Detallado - LDF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</si>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</sst>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#,##0.00\ &quot;MXN&quot;"/>
    <numFmt numFmtId="165" formatCode="#,##0.00;\-\ #,##0.00"/>
    <numFmt numFmtId="166" formatCode="#,##0.00\ %"/>
    <numFmt numFmtId="167" formatCode="#,##0.00\ %;\-\ #,##0.00\ %"/>
    <numFmt numFmtId="168" formatCode="#,##0.00000\ %"/>
    <numFmt numFmtId="169" formatCode="&quot;$&quot;#,##0.00"/>
    <numFmt numFmtId="170" formatCode="_(* #,##0.00_);_(* \(#,##0.00\);_(* &quot;-&quot;??_);_(@_)"/>
    <numFmt numFmtId="171" formatCode="&quot;$&quot;#,##0"/>
    <numFmt numFmtId="172" formatCode="_-* #,##0_-;\-* #,##0_-;_-* &quot;-&quot;??_-;_-@_-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11"/>
      <color theme="0"/>
      <name val="Arial Narrow"/>
      <family val="2"/>
    </font>
    <font>
      <sz val="11"/>
      <name val="Arial Narrow"/>
      <family val="2"/>
    </font>
    <font>
      <b/>
      <sz val="14"/>
      <color theme="1"/>
      <name val="Arial Narrow"/>
      <family val="2"/>
    </font>
    <font>
      <vertAlign val="superscript"/>
      <sz val="11"/>
      <color theme="1"/>
      <name val="Arial Narrow"/>
      <family val="2"/>
    </font>
    <font>
      <b/>
      <sz val="10"/>
      <name val="Arial Narrow"/>
      <family val="2"/>
    </font>
    <font>
      <b/>
      <vertAlign val="superscript"/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color theme="1"/>
      <name val="Arial Narrow"/>
      <family val="2"/>
    </font>
    <font>
      <b/>
      <sz val="11"/>
      <name val="Arial Narrow"/>
      <family val="2"/>
    </font>
    <font>
      <sz val="9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66">
    <xf numFmtId="0" fontId="0" fillId="0" borderId="0"/>
    <xf numFmtId="0" fontId="3" fillId="0" borderId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8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0" fillId="7" borderId="0" applyNumberFormat="0" applyBorder="0" applyAlignment="0" applyProtection="0"/>
    <xf numFmtId="0" fontId="11" fillId="6" borderId="0" applyNumberFormat="0" applyBorder="0" applyAlignment="0" applyProtection="0"/>
    <xf numFmtId="0" fontId="9" fillId="6" borderId="16" applyNumberFormat="0" applyAlignment="0" applyProtection="0"/>
    <xf numFmtId="0" fontId="12" fillId="4" borderId="20" applyNumberFormat="0" applyAlignment="0" applyProtection="0"/>
    <xf numFmtId="0" fontId="5" fillId="4" borderId="16" applyNumberFormat="0" applyAlignment="0" applyProtection="0"/>
    <xf numFmtId="0" fontId="7" fillId="0" borderId="18" applyNumberFormat="0" applyFill="0" applyAlignment="0" applyProtection="0"/>
    <xf numFmtId="0" fontId="6" fillId="5" borderId="17" applyNumberFormat="0" applyAlignment="0" applyProtection="0"/>
    <xf numFmtId="0" fontId="22" fillId="0" borderId="0" applyNumberFormat="0" applyFill="0" applyBorder="0" applyAlignment="0" applyProtection="0"/>
    <xf numFmtId="0" fontId="3" fillId="8" borderId="19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27" applyNumberFormat="0" applyFill="0" applyAlignment="0" applyProtection="0"/>
    <xf numFmtId="4" fontId="13" fillId="9" borderId="21" applyNumberFormat="0" applyProtection="0">
      <alignment vertical="center"/>
    </xf>
    <xf numFmtId="4" fontId="14" fillId="9" borderId="21" applyNumberFormat="0" applyProtection="0">
      <alignment vertical="center"/>
    </xf>
    <xf numFmtId="4" fontId="13" fillId="9" borderId="21" applyNumberFormat="0" applyProtection="0">
      <alignment horizontal="left" vertical="center" indent="1"/>
    </xf>
    <xf numFmtId="0" fontId="13" fillId="9" borderId="21" applyNumberFormat="0" applyProtection="0">
      <alignment horizontal="left" vertical="top" indent="1"/>
    </xf>
    <xf numFmtId="4" fontId="13" fillId="10" borderId="0" applyNumberFormat="0" applyProtection="0">
      <alignment horizontal="left" vertical="center" indent="1"/>
    </xf>
    <xf numFmtId="4" fontId="15" fillId="11" borderId="21" applyNumberFormat="0" applyProtection="0">
      <alignment horizontal="right" vertical="center"/>
    </xf>
    <xf numFmtId="4" fontId="15" fillId="12" borderId="21" applyNumberFormat="0" applyProtection="0">
      <alignment horizontal="right" vertical="center"/>
    </xf>
    <xf numFmtId="4" fontId="15" fillId="13" borderId="21" applyNumberFormat="0" applyProtection="0">
      <alignment horizontal="right" vertical="center"/>
    </xf>
    <xf numFmtId="4" fontId="15" fillId="14" borderId="21" applyNumberFormat="0" applyProtection="0">
      <alignment horizontal="right" vertical="center"/>
    </xf>
    <xf numFmtId="4" fontId="15" fillId="15" borderId="21" applyNumberFormat="0" applyProtection="0">
      <alignment horizontal="right" vertical="center"/>
    </xf>
    <xf numFmtId="4" fontId="15" fillId="16" borderId="21" applyNumberFormat="0" applyProtection="0">
      <alignment horizontal="right" vertical="center"/>
    </xf>
    <xf numFmtId="4" fontId="15" fillId="17" borderId="21" applyNumberFormat="0" applyProtection="0">
      <alignment horizontal="right" vertical="center"/>
    </xf>
    <xf numFmtId="4" fontId="15" fillId="18" borderId="21" applyNumberFormat="0" applyProtection="0">
      <alignment horizontal="right" vertical="center"/>
    </xf>
    <xf numFmtId="4" fontId="15" fillId="19" borderId="21" applyNumberFormat="0" applyProtection="0">
      <alignment horizontal="right" vertical="center"/>
    </xf>
    <xf numFmtId="4" fontId="13" fillId="20" borderId="22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6" fillId="22" borderId="0" applyNumberFormat="0" applyProtection="0">
      <alignment horizontal="left" vertical="center" indent="1"/>
    </xf>
    <xf numFmtId="4" fontId="15" fillId="10" borderId="21" applyNumberFormat="0" applyProtection="0">
      <alignment horizontal="right" vertical="center"/>
    </xf>
    <xf numFmtId="4" fontId="17" fillId="21" borderId="0" applyNumberFormat="0" applyProtection="0">
      <alignment horizontal="left" vertical="center" indent="1"/>
    </xf>
    <xf numFmtId="4" fontId="17" fillId="10" borderId="0" applyNumberFormat="0" applyProtection="0">
      <alignment horizontal="left" vertical="center" indent="1"/>
    </xf>
    <xf numFmtId="0" fontId="3" fillId="22" borderId="21" applyNumberFormat="0" applyProtection="0">
      <alignment horizontal="left" vertical="center" indent="1"/>
    </xf>
    <xf numFmtId="0" fontId="3" fillId="22" borderId="21" applyNumberFormat="0" applyProtection="0">
      <alignment horizontal="left" vertical="top" indent="1"/>
    </xf>
    <xf numFmtId="0" fontId="3" fillId="10" borderId="21" applyNumberFormat="0" applyProtection="0">
      <alignment horizontal="left" vertical="center" indent="1"/>
    </xf>
    <xf numFmtId="0" fontId="3" fillId="10" borderId="21" applyNumberFormat="0" applyProtection="0">
      <alignment horizontal="left" vertical="top" indent="1"/>
    </xf>
    <xf numFmtId="0" fontId="3" fillId="23" borderId="21" applyNumberFormat="0" applyProtection="0">
      <alignment horizontal="left" vertical="center" indent="1"/>
    </xf>
    <xf numFmtId="0" fontId="3" fillId="23" borderId="21" applyNumberFormat="0" applyProtection="0">
      <alignment horizontal="left" vertical="top" indent="1"/>
    </xf>
    <xf numFmtId="0" fontId="3" fillId="21" borderId="21" applyNumberFormat="0" applyProtection="0">
      <alignment horizontal="left" vertical="center" indent="1"/>
    </xf>
    <xf numFmtId="0" fontId="3" fillId="21" borderId="21" applyNumberFormat="0" applyProtection="0">
      <alignment horizontal="left" vertical="top" indent="1"/>
    </xf>
    <xf numFmtId="0" fontId="3" fillId="24" borderId="23" applyNumberFormat="0">
      <protection locked="0"/>
    </xf>
    <xf numFmtId="4" fontId="15" fillId="25" borderId="21" applyNumberFormat="0" applyProtection="0">
      <alignment vertical="center"/>
    </xf>
    <xf numFmtId="4" fontId="18" fillId="25" borderId="21" applyNumberFormat="0" applyProtection="0">
      <alignment vertical="center"/>
    </xf>
    <xf numFmtId="4" fontId="15" fillId="25" borderId="21" applyNumberFormat="0" applyProtection="0">
      <alignment horizontal="left" vertical="center" indent="1"/>
    </xf>
    <xf numFmtId="0" fontId="15" fillId="25" borderId="21" applyNumberFormat="0" applyProtection="0">
      <alignment horizontal="left" vertical="top" indent="1"/>
    </xf>
    <xf numFmtId="4" fontId="15" fillId="21" borderId="21" applyNumberFormat="0" applyProtection="0">
      <alignment horizontal="right" vertical="center"/>
    </xf>
    <xf numFmtId="4" fontId="18" fillId="21" borderId="21" applyNumberFormat="0" applyProtection="0">
      <alignment horizontal="right" vertical="center"/>
    </xf>
    <xf numFmtId="4" fontId="15" fillId="10" borderId="21" applyNumberFormat="0" applyProtection="0">
      <alignment horizontal="left" vertical="center" indent="1"/>
    </xf>
    <xf numFmtId="0" fontId="15" fillId="10" borderId="21" applyNumberFormat="0" applyProtection="0">
      <alignment horizontal="left" vertical="top" indent="1"/>
    </xf>
    <xf numFmtId="4" fontId="19" fillId="26" borderId="0" applyNumberFormat="0" applyProtection="0">
      <alignment horizontal="left" vertical="center" indent="1"/>
    </xf>
    <xf numFmtId="4" fontId="20" fillId="21" borderId="2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43" fontId="46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</cellStyleXfs>
  <cellXfs count="356">
    <xf numFmtId="0" fontId="0" fillId="0" borderId="0" xfId="0"/>
    <xf numFmtId="0" fontId="15" fillId="10" borderId="21" xfId="53" quotePrefix="1" applyNumberFormat="1">
      <alignment horizontal="left" vertical="center" indent="1"/>
    </xf>
    <xf numFmtId="4" fontId="15" fillId="21" borderId="21" xfId="51" applyNumberFormat="1">
      <alignment horizontal="right" vertical="center"/>
    </xf>
    <xf numFmtId="164" fontId="15" fillId="21" borderId="21" xfId="51" applyNumberFormat="1">
      <alignment horizontal="right" vertical="center"/>
    </xf>
    <xf numFmtId="3" fontId="15" fillId="21" borderId="21" xfId="51" applyNumberFormat="1">
      <alignment horizontal="right" vertical="center"/>
    </xf>
    <xf numFmtId="165" fontId="15" fillId="21" borderId="21" xfId="51" applyNumberFormat="1">
      <alignment horizontal="right" vertical="center"/>
    </xf>
    <xf numFmtId="166" fontId="15" fillId="21" borderId="21" xfId="51" applyNumberFormat="1">
      <alignment horizontal="right" vertical="center"/>
    </xf>
    <xf numFmtId="167" fontId="15" fillId="21" borderId="21" xfId="51" applyNumberFormat="1">
      <alignment horizontal="right" vertical="center"/>
    </xf>
    <xf numFmtId="0" fontId="13" fillId="10" borderId="0" xfId="22" quotePrefix="1" applyNumberFormat="1" applyAlignment="1">
      <alignment horizontal="left" vertical="center" indent="1"/>
    </xf>
    <xf numFmtId="0" fontId="3" fillId="22" borderId="21" xfId="39" quotePrefix="1" applyAlignment="1">
      <alignment horizontal="left" vertical="top" wrapText="1" indent="1"/>
    </xf>
    <xf numFmtId="0" fontId="13" fillId="9" borderId="21" xfId="20" quotePrefix="1" applyNumberFormat="1">
      <alignment horizontal="left" vertical="center" indent="1"/>
    </xf>
    <xf numFmtId="4" fontId="13" fillId="9" borderId="21" xfId="18" applyNumberFormat="1">
      <alignment vertical="center"/>
    </xf>
    <xf numFmtId="164" fontId="13" fillId="9" borderId="21" xfId="18" applyNumberFormat="1">
      <alignment vertical="center"/>
    </xf>
    <xf numFmtId="3" fontId="13" fillId="9" borderId="21" xfId="18" applyNumberFormat="1">
      <alignment vertical="center"/>
    </xf>
    <xf numFmtId="165" fontId="13" fillId="9" borderId="21" xfId="18" applyNumberFormat="1">
      <alignment vertical="center"/>
    </xf>
    <xf numFmtId="166" fontId="13" fillId="9" borderId="21" xfId="18" applyNumberFormat="1">
      <alignment vertical="center"/>
    </xf>
    <xf numFmtId="168" fontId="15" fillId="21" borderId="21" xfId="51" applyNumberFormat="1">
      <alignment horizontal="right" vertical="center"/>
    </xf>
    <xf numFmtId="168" fontId="13" fillId="9" borderId="21" xfId="18" applyNumberFormat="1">
      <alignment vertical="center"/>
    </xf>
    <xf numFmtId="0" fontId="28" fillId="2" borderId="0" xfId="0" applyFont="1" applyFill="1"/>
    <xf numFmtId="0" fontId="31" fillId="2" borderId="4" xfId="1" applyFont="1" applyFill="1" applyBorder="1"/>
    <xf numFmtId="0" fontId="31" fillId="2" borderId="0" xfId="1" applyFont="1" applyFill="1" applyBorder="1" applyAlignment="1">
      <alignment horizontal="center"/>
    </xf>
    <xf numFmtId="0" fontId="30" fillId="2" borderId="10" xfId="1" applyFont="1" applyFill="1" applyBorder="1" applyAlignment="1">
      <alignment horizontal="center"/>
    </xf>
    <xf numFmtId="169" fontId="28" fillId="2" borderId="0" xfId="0" applyNumberFormat="1" applyFont="1" applyFill="1"/>
    <xf numFmtId="0" fontId="36" fillId="2" borderId="0" xfId="0" quotePrefix="1" applyFont="1" applyFill="1" applyAlignment="1"/>
    <xf numFmtId="0" fontId="36" fillId="2" borderId="0" xfId="0" applyFont="1" applyFill="1"/>
    <xf numFmtId="0" fontId="37" fillId="2" borderId="0" xfId="0" applyFont="1" applyFill="1"/>
    <xf numFmtId="49" fontId="28" fillId="2" borderId="13" xfId="1" applyNumberFormat="1" applyFont="1" applyFill="1" applyBorder="1" applyAlignment="1">
      <alignment horizontal="center"/>
    </xf>
    <xf numFmtId="49" fontId="28" fillId="2" borderId="7" xfId="1" applyNumberFormat="1" applyFont="1" applyFill="1" applyBorder="1" applyAlignment="1">
      <alignment horizontal="center"/>
    </xf>
    <xf numFmtId="49" fontId="28" fillId="2" borderId="8" xfId="1" applyNumberFormat="1" applyFont="1" applyFill="1" applyBorder="1" applyAlignment="1">
      <alignment horizontal="center"/>
    </xf>
    <xf numFmtId="0" fontId="33" fillId="2" borderId="3" xfId="1" applyFont="1" applyFill="1" applyBorder="1" applyAlignment="1">
      <alignment horizontal="center"/>
    </xf>
    <xf numFmtId="0" fontId="33" fillId="2" borderId="14" xfId="1" applyFont="1" applyFill="1" applyBorder="1" applyAlignment="1">
      <alignment horizontal="center"/>
    </xf>
    <xf numFmtId="0" fontId="33" fillId="2" borderId="10" xfId="1" applyFont="1" applyFill="1" applyBorder="1" applyAlignment="1">
      <alignment horizontal="center" wrapText="1"/>
    </xf>
    <xf numFmtId="0" fontId="33" fillId="2" borderId="10" xfId="1" applyFont="1" applyFill="1" applyBorder="1" applyAlignment="1">
      <alignment horizontal="center"/>
    </xf>
    <xf numFmtId="0" fontId="33" fillId="2" borderId="5" xfId="1" applyFont="1" applyFill="1" applyBorder="1" applyAlignment="1">
      <alignment horizontal="center"/>
    </xf>
    <xf numFmtId="0" fontId="31" fillId="2" borderId="4" xfId="1" applyFont="1" applyFill="1" applyBorder="1" applyAlignment="1">
      <alignment vertical="center"/>
    </xf>
    <xf numFmtId="0" fontId="31" fillId="2" borderId="0" xfId="1" applyFont="1" applyFill="1" applyBorder="1" applyAlignment="1">
      <alignment vertical="center"/>
    </xf>
    <xf numFmtId="0" fontId="31" fillId="2" borderId="0" xfId="1" applyFont="1" applyFill="1" applyBorder="1" applyAlignment="1">
      <alignment horizontal="center" vertical="center"/>
    </xf>
    <xf numFmtId="0" fontId="31" fillId="2" borderId="0" xfId="1" applyFont="1" applyFill="1" applyAlignment="1">
      <alignment vertical="center"/>
    </xf>
    <xf numFmtId="0" fontId="31" fillId="2" borderId="0" xfId="1" applyFont="1" applyFill="1" applyAlignment="1">
      <alignment horizontal="center" vertical="center"/>
    </xf>
    <xf numFmtId="0" fontId="30" fillId="2" borderId="10" xfId="1" applyFont="1" applyFill="1" applyBorder="1" applyAlignment="1">
      <alignment horizontal="center" vertical="center"/>
    </xf>
    <xf numFmtId="0" fontId="42" fillId="2" borderId="0" xfId="0" applyFont="1" applyFill="1"/>
    <xf numFmtId="169" fontId="42" fillId="2" borderId="0" xfId="0" applyNumberFormat="1" applyFont="1" applyFill="1"/>
    <xf numFmtId="0" fontId="29" fillId="2" borderId="3" xfId="1" applyFont="1" applyFill="1" applyBorder="1" applyAlignment="1">
      <alignment horizontal="center"/>
    </xf>
    <xf numFmtId="0" fontId="29" fillId="2" borderId="14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/>
    </xf>
    <xf numFmtId="0" fontId="29" fillId="2" borderId="5" xfId="1" applyFont="1" applyFill="1" applyBorder="1" applyAlignment="1">
      <alignment horizontal="center" vertical="center"/>
    </xf>
    <xf numFmtId="49" fontId="31" fillId="2" borderId="13" xfId="1" applyNumberFormat="1" applyFont="1" applyFill="1" applyBorder="1" applyAlignment="1">
      <alignment horizontal="center"/>
    </xf>
    <xf numFmtId="49" fontId="31" fillId="2" borderId="7" xfId="1" applyNumberFormat="1" applyFont="1" applyFill="1" applyBorder="1" applyAlignment="1">
      <alignment horizontal="center"/>
    </xf>
    <xf numFmtId="49" fontId="31" fillId="2" borderId="14" xfId="1" applyNumberFormat="1" applyFont="1" applyFill="1" applyBorder="1" applyAlignment="1">
      <alignment horizontal="center"/>
    </xf>
    <xf numFmtId="0" fontId="31" fillId="2" borderId="0" xfId="1" applyFont="1" applyFill="1" applyBorder="1"/>
    <xf numFmtId="169" fontId="31" fillId="2" borderId="15" xfId="1" applyNumberFormat="1" applyFont="1" applyFill="1" applyBorder="1"/>
    <xf numFmtId="169" fontId="31" fillId="2" borderId="5" xfId="1" applyNumberFormat="1" applyFont="1" applyFill="1" applyBorder="1"/>
    <xf numFmtId="0" fontId="29" fillId="2" borderId="4" xfId="58" applyFont="1" applyFill="1" applyBorder="1" applyAlignment="1">
      <alignment horizontal="left" vertical="center"/>
    </xf>
    <xf numFmtId="0" fontId="35" fillId="2" borderId="0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 vertical="center" wrapText="1"/>
    </xf>
    <xf numFmtId="0" fontId="31" fillId="2" borderId="0" xfId="1" applyFont="1" applyFill="1"/>
    <xf numFmtId="0" fontId="35" fillId="2" borderId="0" xfId="58" applyFont="1" applyFill="1" applyBorder="1"/>
    <xf numFmtId="0" fontId="29" fillId="2" borderId="4" xfId="58" applyFont="1" applyFill="1" applyBorder="1"/>
    <xf numFmtId="0" fontId="31" fillId="2" borderId="0" xfId="60" applyFont="1" applyFill="1" applyBorder="1" applyAlignment="1"/>
    <xf numFmtId="0" fontId="31" fillId="2" borderId="4" xfId="60" applyFont="1" applyFill="1" applyBorder="1" applyAlignment="1"/>
    <xf numFmtId="0" fontId="31" fillId="2" borderId="6" xfId="1" applyFont="1" applyFill="1" applyBorder="1"/>
    <xf numFmtId="0" fontId="31" fillId="2" borderId="7" xfId="1" applyFont="1" applyFill="1" applyBorder="1"/>
    <xf numFmtId="0" fontId="31" fillId="2" borderId="7" xfId="1" applyFont="1" applyFill="1" applyBorder="1" applyAlignment="1">
      <alignment horizontal="center"/>
    </xf>
    <xf numFmtId="169" fontId="31" fillId="2" borderId="13" xfId="1" applyNumberFormat="1" applyFont="1" applyFill="1" applyBorder="1"/>
    <xf numFmtId="169" fontId="31" fillId="2" borderId="8" xfId="1" applyNumberFormat="1" applyFont="1" applyFill="1" applyBorder="1"/>
    <xf numFmtId="0" fontId="15" fillId="0" borderId="0" xfId="0" applyFont="1"/>
    <xf numFmtId="0" fontId="44" fillId="0" borderId="0" xfId="58" applyFont="1" applyAlignment="1">
      <alignment horizontal="left"/>
    </xf>
    <xf numFmtId="3" fontId="15" fillId="0" borderId="0" xfId="0" applyNumberFormat="1" applyFont="1"/>
    <xf numFmtId="0" fontId="44" fillId="0" borderId="14" xfId="0" applyFont="1" applyFill="1" applyBorder="1" applyAlignment="1">
      <alignment horizontal="centerContinuous"/>
    </xf>
    <xf numFmtId="1" fontId="13" fillId="0" borderId="14" xfId="0" applyNumberFormat="1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0" fontId="43" fillId="0" borderId="14" xfId="0" applyFont="1" applyBorder="1" applyAlignment="1">
      <alignment horizontal="center" vertical="center"/>
    </xf>
    <xf numFmtId="3" fontId="43" fillId="0" borderId="14" xfId="0" applyNumberFormat="1" applyFont="1" applyBorder="1" applyAlignment="1">
      <alignment vertical="center"/>
    </xf>
    <xf numFmtId="4" fontId="13" fillId="0" borderId="14" xfId="0" applyNumberFormat="1" applyFont="1" applyBorder="1" applyAlignment="1">
      <alignment vertical="center"/>
    </xf>
    <xf numFmtId="0" fontId="43" fillId="0" borderId="15" xfId="0" applyFont="1" applyBorder="1" applyAlignment="1">
      <alignment vertical="justify"/>
    </xf>
    <xf numFmtId="3" fontId="43" fillId="0" borderId="15" xfId="0" applyNumberFormat="1" applyFont="1" applyBorder="1" applyAlignment="1">
      <alignment vertical="center"/>
    </xf>
    <xf numFmtId="4" fontId="43" fillId="0" borderId="15" xfId="0" applyNumberFormat="1" applyFont="1" applyBorder="1" applyAlignment="1">
      <alignment vertical="center"/>
    </xf>
    <xf numFmtId="0" fontId="43" fillId="0" borderId="15" xfId="0" applyFont="1" applyBorder="1" applyAlignment="1">
      <alignment horizontal="left" vertical="center"/>
    </xf>
    <xf numFmtId="0" fontId="43" fillId="0" borderId="15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3" fontId="43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170" fontId="15" fillId="0" borderId="0" xfId="0" applyNumberFormat="1" applyFont="1"/>
    <xf numFmtId="3" fontId="0" fillId="0" borderId="0" xfId="0" applyNumberFormat="1"/>
    <xf numFmtId="4" fontId="43" fillId="0" borderId="0" xfId="0" applyNumberFormat="1" applyFont="1" applyBorder="1" applyAlignment="1">
      <alignment vertical="center"/>
    </xf>
    <xf numFmtId="0" fontId="13" fillId="0" borderId="15" xfId="0" applyFont="1" applyBorder="1" applyAlignment="1">
      <alignment horizontal="center" vertical="top" wrapText="1"/>
    </xf>
    <xf numFmtId="3" fontId="13" fillId="0" borderId="15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vertical="center"/>
    </xf>
    <xf numFmtId="0" fontId="15" fillId="0" borderId="15" xfId="0" applyFont="1" applyBorder="1" applyAlignment="1">
      <alignment vertical="top" wrapText="1"/>
    </xf>
    <xf numFmtId="3" fontId="15" fillId="0" borderId="15" xfId="0" applyNumberFormat="1" applyFont="1" applyBorder="1" applyAlignment="1">
      <alignment vertical="center"/>
    </xf>
    <xf numFmtId="3" fontId="15" fillId="0" borderId="15" xfId="0" applyNumberFormat="1" applyFont="1" applyFill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15" fillId="0" borderId="15" xfId="0" applyFont="1" applyBorder="1" applyAlignment="1">
      <alignment horizontal="justify" vertical="top" wrapText="1"/>
    </xf>
    <xf numFmtId="0" fontId="13" fillId="0" borderId="15" xfId="0" applyFont="1" applyBorder="1" applyAlignment="1">
      <alignment horizontal="justify" vertical="top" wrapText="1"/>
    </xf>
    <xf numFmtId="3" fontId="13" fillId="0" borderId="15" xfId="0" applyNumberFormat="1" applyFont="1" applyFill="1" applyBorder="1" applyAlignment="1">
      <alignment vertical="center"/>
    </xf>
    <xf numFmtId="0" fontId="13" fillId="0" borderId="13" xfId="0" applyFont="1" applyBorder="1" applyAlignment="1">
      <alignment horizontal="justify" vertical="top" wrapText="1"/>
    </xf>
    <xf numFmtId="3" fontId="15" fillId="0" borderId="13" xfId="0" applyNumberFormat="1" applyFont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4" fontId="15" fillId="0" borderId="13" xfId="0" applyNumberFormat="1" applyFont="1" applyBorder="1" applyAlignment="1">
      <alignment vertical="center"/>
    </xf>
    <xf numFmtId="0" fontId="15" fillId="0" borderId="0" xfId="0" applyFont="1" applyAlignment="1">
      <alignment vertical="top" wrapText="1"/>
    </xf>
    <xf numFmtId="4" fontId="15" fillId="0" borderId="0" xfId="0" applyNumberFormat="1" applyFont="1" applyFill="1"/>
    <xf numFmtId="4" fontId="15" fillId="0" borderId="0" xfId="0" applyNumberFormat="1" applyFont="1"/>
    <xf numFmtId="0" fontId="15" fillId="0" borderId="15" xfId="0" applyFont="1" applyBorder="1" applyAlignment="1">
      <alignment horizontal="justify" vertical="top"/>
    </xf>
    <xf numFmtId="3" fontId="15" fillId="0" borderId="15" xfId="0" applyNumberFormat="1" applyFont="1" applyBorder="1"/>
    <xf numFmtId="4" fontId="15" fillId="0" borderId="15" xfId="0" applyNumberFormat="1" applyFont="1" applyBorder="1" applyAlignment="1">
      <alignment horizontal="right" vertical="center"/>
    </xf>
    <xf numFmtId="0" fontId="15" fillId="0" borderId="15" xfId="0" applyFont="1" applyBorder="1" applyAlignment="1">
      <alignment horizontal="justify" wrapText="1"/>
    </xf>
    <xf numFmtId="3" fontId="15" fillId="0" borderId="13" xfId="0" applyNumberFormat="1" applyFont="1" applyFill="1" applyBorder="1" applyAlignment="1">
      <alignment vertical="center"/>
    </xf>
    <xf numFmtId="3" fontId="15" fillId="0" borderId="0" xfId="0" applyNumberFormat="1" applyFont="1" applyBorder="1"/>
    <xf numFmtId="4" fontId="15" fillId="0" borderId="0" xfId="0" applyNumberFormat="1" applyFont="1" applyFill="1" applyBorder="1"/>
    <xf numFmtId="0" fontId="13" fillId="0" borderId="0" xfId="0" applyFont="1" applyBorder="1" applyAlignment="1">
      <alignment horizontal="justify" vertical="top" wrapText="1"/>
    </xf>
    <xf numFmtId="3" fontId="15" fillId="0" borderId="0" xfId="0" applyNumberFormat="1" applyFont="1" applyFill="1" applyBorder="1"/>
    <xf numFmtId="0" fontId="15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horizontal="justify" vertical="center"/>
    </xf>
    <xf numFmtId="3" fontId="13" fillId="0" borderId="15" xfId="0" applyNumberFormat="1" applyFont="1" applyBorder="1"/>
    <xf numFmtId="0" fontId="13" fillId="0" borderId="13" xfId="0" applyFont="1" applyBorder="1" applyAlignment="1">
      <alignment vertical="top" wrapText="1"/>
    </xf>
    <xf numFmtId="0" fontId="15" fillId="0" borderId="0" xfId="0" applyFont="1" applyAlignment="1">
      <alignment horizontal="justify" vertical="top" wrapText="1"/>
    </xf>
    <xf numFmtId="3" fontId="15" fillId="0" borderId="0" xfId="0" applyNumberFormat="1" applyFont="1" applyFill="1"/>
    <xf numFmtId="3" fontId="13" fillId="0" borderId="13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top" wrapText="1"/>
    </xf>
    <xf numFmtId="1" fontId="13" fillId="0" borderId="14" xfId="0" applyNumberFormat="1" applyFont="1" applyFill="1" applyBorder="1" applyAlignment="1">
      <alignment horizontal="center"/>
    </xf>
    <xf numFmtId="0" fontId="15" fillId="0" borderId="13" xfId="0" applyFont="1" applyBorder="1" applyAlignment="1">
      <alignment horizontal="justify" vertical="top" wrapText="1"/>
    </xf>
    <xf numFmtId="0" fontId="13" fillId="0" borderId="0" xfId="0" applyFont="1" applyBorder="1" applyAlignment="1">
      <alignment vertical="top" wrapText="1"/>
    </xf>
    <xf numFmtId="0" fontId="15" fillId="0" borderId="13" xfId="0" applyFont="1" applyBorder="1" applyAlignment="1">
      <alignment horizontal="justify" vertical="top"/>
    </xf>
    <xf numFmtId="0" fontId="3" fillId="0" borderId="15" xfId="61" applyFont="1" applyFill="1" applyBorder="1" applyAlignment="1">
      <alignment vertical="center" wrapText="1"/>
    </xf>
    <xf numFmtId="0" fontId="27" fillId="0" borderId="15" xfId="0" applyFont="1" applyBorder="1" applyAlignment="1">
      <alignment wrapText="1"/>
    </xf>
    <xf numFmtId="0" fontId="3" fillId="2" borderId="15" xfId="0" applyFont="1" applyFill="1" applyBorder="1" applyAlignment="1">
      <alignment vertical="center" wrapText="1"/>
    </xf>
    <xf numFmtId="3" fontId="15" fillId="0" borderId="15" xfId="0" applyNumberFormat="1" applyFont="1" applyBorder="1" applyAlignment="1"/>
    <xf numFmtId="4" fontId="15" fillId="0" borderId="15" xfId="0" applyNumberFormat="1" applyFont="1" applyBorder="1"/>
    <xf numFmtId="0" fontId="0" fillId="0" borderId="15" xfId="61" applyFont="1" applyFill="1" applyBorder="1" applyAlignment="1">
      <alignment vertical="center" wrapText="1"/>
    </xf>
    <xf numFmtId="0" fontId="43" fillId="0" borderId="15" xfId="61" applyFont="1" applyFill="1" applyBorder="1" applyAlignment="1">
      <alignment vertical="center" wrapText="1"/>
    </xf>
    <xf numFmtId="0" fontId="13" fillId="0" borderId="13" xfId="0" applyFont="1" applyBorder="1" applyAlignment="1">
      <alignment horizontal="justify" vertical="top"/>
    </xf>
    <xf numFmtId="3" fontId="13" fillId="0" borderId="13" xfId="0" applyNumberFormat="1" applyFont="1" applyBorder="1" applyAlignment="1"/>
    <xf numFmtId="3" fontId="13" fillId="0" borderId="13" xfId="0" applyNumberFormat="1" applyFont="1" applyFill="1" applyBorder="1" applyAlignment="1"/>
    <xf numFmtId="4" fontId="13" fillId="0" borderId="13" xfId="0" applyNumberFormat="1" applyFont="1" applyBorder="1" applyAlignment="1">
      <alignment vertical="center"/>
    </xf>
    <xf numFmtId="3" fontId="13" fillId="0" borderId="0" xfId="0" applyNumberFormat="1" applyFont="1" applyFill="1"/>
    <xf numFmtId="3" fontId="15" fillId="0" borderId="0" xfId="0" applyNumberFormat="1" applyFont="1" applyFill="1" applyBorder="1" applyAlignment="1">
      <alignment vertical="center"/>
    </xf>
    <xf numFmtId="0" fontId="45" fillId="0" borderId="0" xfId="0" applyFont="1"/>
    <xf numFmtId="3" fontId="13" fillId="0" borderId="0" xfId="0" applyNumberFormat="1" applyFont="1"/>
    <xf numFmtId="171" fontId="31" fillId="2" borderId="15" xfId="1" applyNumberFormat="1" applyFont="1" applyFill="1" applyBorder="1" applyAlignment="1">
      <alignment vertical="center"/>
    </xf>
    <xf numFmtId="171" fontId="31" fillId="2" borderId="5" xfId="1" applyNumberFormat="1" applyFont="1" applyFill="1" applyBorder="1" applyAlignment="1">
      <alignment vertical="center"/>
    </xf>
    <xf numFmtId="171" fontId="29" fillId="2" borderId="14" xfId="1" applyNumberFormat="1" applyFont="1" applyFill="1" applyBorder="1" applyAlignment="1">
      <alignment vertical="center"/>
    </xf>
    <xf numFmtId="171" fontId="31" fillId="2" borderId="15" xfId="1" applyNumberFormat="1" applyFont="1" applyFill="1" applyBorder="1"/>
    <xf numFmtId="171" fontId="31" fillId="2" borderId="5" xfId="1" applyNumberFormat="1" applyFont="1" applyFill="1" applyBorder="1"/>
    <xf numFmtId="171" fontId="29" fillId="2" borderId="14" xfId="1" applyNumberFormat="1" applyFont="1" applyFill="1" applyBorder="1"/>
    <xf numFmtId="0" fontId="28" fillId="0" borderId="0" xfId="63" applyFont="1" applyFill="1"/>
    <xf numFmtId="0" fontId="35" fillId="0" borderId="0" xfId="63" applyFont="1" applyFill="1"/>
    <xf numFmtId="0" fontId="47" fillId="0" borderId="0" xfId="64" applyFont="1" applyFill="1"/>
    <xf numFmtId="0" fontId="28" fillId="0" borderId="0" xfId="64" applyFont="1" applyFill="1"/>
    <xf numFmtId="0" fontId="29" fillId="0" borderId="13" xfId="63" applyFont="1" applyFill="1" applyBorder="1" applyAlignment="1">
      <alignment vertical="center"/>
    </xf>
    <xf numFmtId="0" fontId="35" fillId="0" borderId="8" xfId="63" applyFont="1" applyFill="1" applyBorder="1" applyAlignment="1">
      <alignment horizontal="left" vertical="center" indent="1"/>
    </xf>
    <xf numFmtId="3" fontId="35" fillId="0" borderId="15" xfId="63" applyNumberFormat="1" applyFont="1" applyFill="1" applyBorder="1" applyAlignment="1">
      <alignment vertical="center"/>
    </xf>
    <xf numFmtId="0" fontId="29" fillId="0" borderId="5" xfId="63" applyFont="1" applyFill="1" applyBorder="1" applyAlignment="1">
      <alignment horizontal="left" vertical="center" indent="1"/>
    </xf>
    <xf numFmtId="3" fontId="29" fillId="0" borderId="15" xfId="63" applyNumberFormat="1" applyFont="1" applyFill="1" applyBorder="1" applyAlignment="1">
      <alignment vertical="center"/>
    </xf>
    <xf numFmtId="3" fontId="35" fillId="0" borderId="5" xfId="63" applyNumberFormat="1" applyFont="1" applyFill="1" applyBorder="1" applyAlignment="1">
      <alignment vertical="center"/>
    </xf>
    <xf numFmtId="0" fontId="35" fillId="0" borderId="5" xfId="63" applyFont="1" applyFill="1" applyBorder="1" applyAlignment="1">
      <alignment horizontal="left" vertical="center" indent="1"/>
    </xf>
    <xf numFmtId="0" fontId="35" fillId="0" borderId="4" xfId="63" applyFont="1" applyFill="1" applyBorder="1" applyAlignment="1">
      <alignment vertical="center"/>
    </xf>
    <xf numFmtId="3" fontId="49" fillId="0" borderId="5" xfId="65" applyNumberFormat="1" applyFont="1" applyBorder="1" applyAlignment="1">
      <alignment horizontal="right" vertical="center"/>
    </xf>
    <xf numFmtId="3" fontId="49" fillId="0" borderId="15" xfId="65" applyNumberFormat="1" applyFont="1" applyBorder="1" applyAlignment="1">
      <alignment horizontal="right" vertical="center"/>
    </xf>
    <xf numFmtId="0" fontId="35" fillId="0" borderId="5" xfId="63" applyFont="1" applyFill="1" applyBorder="1" applyAlignment="1">
      <alignment horizontal="left" vertical="center" indent="5"/>
    </xf>
    <xf numFmtId="0" fontId="49" fillId="0" borderId="5" xfId="65" applyFont="1" applyBorder="1" applyAlignment="1">
      <alignment horizontal="right" vertical="center"/>
    </xf>
    <xf numFmtId="0" fontId="49" fillId="0" borderId="15" xfId="65" applyFont="1" applyBorder="1" applyAlignment="1">
      <alignment horizontal="right" vertical="center"/>
    </xf>
    <xf numFmtId="0" fontId="42" fillId="0" borderId="0" xfId="65" applyFont="1" applyAlignment="1">
      <alignment vertical="center" wrapText="1"/>
    </xf>
    <xf numFmtId="3" fontId="29" fillId="0" borderId="8" xfId="63" applyNumberFormat="1" applyFont="1" applyFill="1" applyBorder="1" applyAlignment="1">
      <alignment horizontal="center" vertical="center"/>
    </xf>
    <xf numFmtId="3" fontId="29" fillId="0" borderId="3" xfId="63" applyNumberFormat="1" applyFont="1" applyFill="1" applyBorder="1" applyAlignment="1">
      <alignment horizontal="center" vertical="center"/>
    </xf>
    <xf numFmtId="3" fontId="35" fillId="0" borderId="0" xfId="63" applyNumberFormat="1" applyFont="1" applyFill="1"/>
    <xf numFmtId="3" fontId="29" fillId="0" borderId="13" xfId="63" applyNumberFormat="1" applyFont="1" applyFill="1" applyBorder="1" applyAlignment="1">
      <alignment vertical="center"/>
    </xf>
    <xf numFmtId="3" fontId="29" fillId="0" borderId="5" xfId="63" applyNumberFormat="1" applyFont="1" applyFill="1" applyBorder="1" applyAlignment="1">
      <alignment vertical="center"/>
    </xf>
    <xf numFmtId="0" fontId="35" fillId="0" borderId="5" xfId="63" applyFont="1" applyFill="1" applyBorder="1" applyAlignment="1">
      <alignment horizontal="justify" vertical="center"/>
    </xf>
    <xf numFmtId="0" fontId="35" fillId="0" borderId="5" xfId="63" applyFont="1" applyFill="1" applyBorder="1" applyAlignment="1">
      <alignment vertical="center"/>
    </xf>
    <xf numFmtId="0" fontId="29" fillId="0" borderId="8" xfId="63" applyFont="1" applyFill="1" applyBorder="1" applyAlignment="1">
      <alignment horizontal="center" vertical="center"/>
    </xf>
    <xf numFmtId="0" fontId="29" fillId="0" borderId="3" xfId="63" applyFont="1" applyFill="1" applyBorder="1" applyAlignment="1">
      <alignment horizontal="center" vertical="center"/>
    </xf>
    <xf numFmtId="0" fontId="29" fillId="0" borderId="5" xfId="63" applyFont="1" applyFill="1" applyBorder="1" applyAlignment="1">
      <alignment vertical="center"/>
    </xf>
    <xf numFmtId="0" fontId="29" fillId="0" borderId="4" xfId="63" applyFont="1" applyFill="1" applyBorder="1" applyAlignment="1">
      <alignment vertical="center"/>
    </xf>
    <xf numFmtId="0" fontId="29" fillId="0" borderId="8" xfId="63" applyFont="1" applyFill="1" applyBorder="1" applyAlignment="1">
      <alignment vertical="center" wrapText="1"/>
    </xf>
    <xf numFmtId="0" fontId="29" fillId="0" borderId="6" xfId="63" applyFont="1" applyFill="1" applyBorder="1" applyAlignment="1">
      <alignment vertical="center" wrapText="1"/>
    </xf>
    <xf numFmtId="3" fontId="29" fillId="0" borderId="5" xfId="63" applyNumberFormat="1" applyFont="1" applyFill="1" applyBorder="1" applyAlignment="1">
      <alignment vertical="center" wrapText="1"/>
    </xf>
    <xf numFmtId="0" fontId="29" fillId="0" borderId="5" xfId="63" applyFont="1" applyFill="1" applyBorder="1" applyAlignment="1">
      <alignment vertical="center" wrapText="1"/>
    </xf>
    <xf numFmtId="0" fontId="29" fillId="0" borderId="4" xfId="63" applyFont="1" applyFill="1" applyBorder="1" applyAlignment="1">
      <alignment vertical="center" wrapText="1"/>
    </xf>
    <xf numFmtId="3" fontId="35" fillId="0" borderId="5" xfId="63" applyNumberFormat="1" applyFont="1" applyFill="1" applyBorder="1" applyAlignment="1">
      <alignment vertical="center" wrapText="1"/>
    </xf>
    <xf numFmtId="3" fontId="35" fillId="0" borderId="15" xfId="63" applyNumberFormat="1" applyFont="1" applyFill="1" applyBorder="1" applyAlignment="1">
      <alignment vertical="center" wrapText="1"/>
    </xf>
    <xf numFmtId="0" fontId="35" fillId="0" borderId="5" xfId="63" applyFont="1" applyFill="1" applyBorder="1" applyAlignment="1">
      <alignment horizontal="left" vertical="center" wrapText="1" indent="5"/>
    </xf>
    <xf numFmtId="0" fontId="35" fillId="0" borderId="5" xfId="63" applyFont="1" applyFill="1" applyBorder="1" applyAlignment="1">
      <alignment vertical="center" wrapText="1"/>
    </xf>
    <xf numFmtId="0" fontId="35" fillId="0" borderId="4" xfId="63" applyFont="1" applyFill="1" applyBorder="1" applyAlignment="1">
      <alignment vertical="center" wrapText="1"/>
    </xf>
    <xf numFmtId="0" fontId="29" fillId="0" borderId="11" xfId="63" applyFont="1" applyFill="1" applyBorder="1" applyAlignment="1">
      <alignment horizontal="center" vertical="center" wrapText="1"/>
    </xf>
    <xf numFmtId="0" fontId="35" fillId="0" borderId="8" xfId="63" applyFont="1" applyFill="1" applyBorder="1" applyAlignment="1">
      <alignment vertical="center" wrapText="1"/>
    </xf>
    <xf numFmtId="0" fontId="35" fillId="0" borderId="6" xfId="63" applyFont="1" applyFill="1" applyBorder="1" applyAlignment="1">
      <alignment vertical="center" wrapText="1"/>
    </xf>
    <xf numFmtId="172" fontId="35" fillId="0" borderId="5" xfId="62" applyNumberFormat="1" applyFont="1" applyFill="1" applyBorder="1" applyAlignment="1">
      <alignment vertical="center" wrapText="1"/>
    </xf>
    <xf numFmtId="172" fontId="35" fillId="0" borderId="15" xfId="62" applyNumberFormat="1" applyFont="1" applyFill="1" applyBorder="1" applyAlignment="1">
      <alignment vertical="center" wrapText="1"/>
    </xf>
    <xf numFmtId="1" fontId="35" fillId="0" borderId="5" xfId="63" applyNumberFormat="1" applyFont="1" applyFill="1" applyBorder="1" applyAlignment="1">
      <alignment vertical="center" wrapText="1"/>
    </xf>
    <xf numFmtId="172" fontId="28" fillId="0" borderId="0" xfId="63" applyNumberFormat="1" applyFont="1" applyFill="1"/>
    <xf numFmtId="0" fontId="29" fillId="0" borderId="8" xfId="63" applyFont="1" applyFill="1" applyBorder="1" applyAlignment="1">
      <alignment horizontal="center" vertical="center" wrapText="1"/>
    </xf>
    <xf numFmtId="0" fontId="29" fillId="0" borderId="5" xfId="63" applyFont="1" applyFill="1" applyBorder="1" applyAlignment="1">
      <alignment horizontal="center" vertical="center" wrapText="1"/>
    </xf>
    <xf numFmtId="0" fontId="35" fillId="0" borderId="7" xfId="63" applyFont="1" applyFill="1" applyBorder="1" applyAlignment="1">
      <alignment vertical="center"/>
    </xf>
    <xf numFmtId="14" fontId="28" fillId="0" borderId="0" xfId="63" applyNumberFormat="1" applyFont="1" applyFill="1"/>
    <xf numFmtId="0" fontId="28" fillId="0" borderId="0" xfId="63" quotePrefix="1" applyFont="1" applyFill="1" applyAlignment="1"/>
    <xf numFmtId="0" fontId="28" fillId="0" borderId="0" xfId="0" applyFont="1"/>
    <xf numFmtId="0" fontId="48" fillId="0" borderId="0" xfId="0" applyFont="1" applyFill="1" applyAlignment="1"/>
    <xf numFmtId="0" fontId="28" fillId="0" borderId="0" xfId="0" applyFont="1" applyFill="1"/>
    <xf numFmtId="4" fontId="28" fillId="0" borderId="0" xfId="0" applyNumberFormat="1" applyFont="1"/>
    <xf numFmtId="0" fontId="35" fillId="0" borderId="0" xfId="0" applyFont="1"/>
    <xf numFmtId="3" fontId="35" fillId="0" borderId="8" xfId="0" applyNumberFormat="1" applyFont="1" applyBorder="1" applyAlignment="1">
      <alignment horizontal="justify" vertical="center"/>
    </xf>
    <xf numFmtId="3" fontId="35" fillId="0" borderId="8" xfId="0" applyNumberFormat="1" applyFont="1" applyBorder="1" applyAlignment="1">
      <alignment horizontal="center" vertical="center"/>
    </xf>
    <xf numFmtId="0" fontId="35" fillId="0" borderId="6" xfId="0" applyFont="1" applyBorder="1" applyAlignment="1">
      <alignment horizontal="left" vertical="center"/>
    </xf>
    <xf numFmtId="3" fontId="29" fillId="0" borderId="5" xfId="0" applyNumberFormat="1" applyFont="1" applyFill="1" applyBorder="1" applyAlignment="1">
      <alignment horizontal="right" vertical="center"/>
    </xf>
    <xf numFmtId="0" fontId="35" fillId="0" borderId="4" xfId="0" applyFont="1" applyBorder="1" applyAlignment="1">
      <alignment horizontal="left" vertical="center"/>
    </xf>
    <xf numFmtId="3" fontId="35" fillId="0" borderId="5" xfId="0" applyNumberFormat="1" applyFont="1" applyBorder="1" applyAlignment="1">
      <alignment horizontal="right" vertical="center"/>
    </xf>
    <xf numFmtId="3" fontId="35" fillId="0" borderId="5" xfId="0" applyNumberFormat="1" applyFont="1" applyFill="1" applyBorder="1" applyAlignment="1">
      <alignment horizontal="center" vertical="center"/>
    </xf>
    <xf numFmtId="3" fontId="35" fillId="0" borderId="5" xfId="0" applyNumberFormat="1" applyFont="1" applyFill="1" applyBorder="1" applyAlignment="1">
      <alignment horizontal="right" vertical="center"/>
    </xf>
    <xf numFmtId="3" fontId="35" fillId="0" borderId="5" xfId="0" applyNumberFormat="1" applyFont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 vertical="center"/>
    </xf>
    <xf numFmtId="3" fontId="35" fillId="0" borderId="5" xfId="0" applyNumberFormat="1" applyFont="1" applyBorder="1" applyAlignment="1">
      <alignment horizontal="justify" vertical="center"/>
    </xf>
    <xf numFmtId="0" fontId="35" fillId="0" borderId="4" xfId="0" applyFont="1" applyFill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5" xfId="0" applyFont="1" applyBorder="1" applyAlignment="1">
      <alignment horizontal="left" vertical="center" wrapText="1"/>
    </xf>
    <xf numFmtId="3" fontId="35" fillId="0" borderId="15" xfId="0" applyNumberFormat="1" applyFont="1" applyBorder="1" applyAlignment="1">
      <alignment horizontal="right" vertical="center"/>
    </xf>
    <xf numFmtId="3" fontId="35" fillId="0" borderId="15" xfId="0" applyNumberFormat="1" applyFont="1" applyFill="1" applyBorder="1" applyAlignment="1">
      <alignment vertical="center"/>
    </xf>
    <xf numFmtId="3" fontId="35" fillId="0" borderId="15" xfId="0" applyNumberFormat="1" applyFont="1" applyBorder="1" applyAlignment="1">
      <alignment vertical="center"/>
    </xf>
    <xf numFmtId="3" fontId="28" fillId="0" borderId="0" xfId="0" applyNumberFormat="1" applyFont="1"/>
    <xf numFmtId="0" fontId="35" fillId="0" borderId="5" xfId="0" applyFont="1" applyBorder="1" applyAlignment="1">
      <alignment horizontal="right" vertical="center"/>
    </xf>
    <xf numFmtId="0" fontId="35" fillId="0" borderId="5" xfId="0" applyFont="1" applyBorder="1" applyAlignment="1">
      <alignment horizontal="center" vertical="center"/>
    </xf>
    <xf numFmtId="14" fontId="28" fillId="0" borderId="0" xfId="0" applyNumberFormat="1" applyFont="1"/>
    <xf numFmtId="0" fontId="28" fillId="0" borderId="0" xfId="0" quotePrefix="1" applyFont="1" applyAlignment="1"/>
    <xf numFmtId="0" fontId="29" fillId="0" borderId="4" xfId="63" applyFont="1" applyFill="1" applyBorder="1" applyAlignment="1">
      <alignment vertical="center"/>
    </xf>
    <xf numFmtId="0" fontId="29" fillId="0" borderId="6" xfId="63" applyFont="1" applyFill="1" applyBorder="1" applyAlignment="1">
      <alignment vertical="center"/>
    </xf>
    <xf numFmtId="0" fontId="48" fillId="0" borderId="0" xfId="64" applyFont="1" applyFill="1" applyAlignment="1">
      <alignment horizontal="center"/>
    </xf>
    <xf numFmtId="0" fontId="35" fillId="0" borderId="4" xfId="63" applyFont="1" applyFill="1" applyBorder="1" applyAlignment="1">
      <alignment vertical="center"/>
    </xf>
    <xf numFmtId="0" fontId="29" fillId="0" borderId="1" xfId="63" applyFont="1" applyFill="1" applyBorder="1" applyAlignment="1">
      <alignment vertical="center"/>
    </xf>
    <xf numFmtId="0" fontId="29" fillId="0" borderId="3" xfId="63" applyFont="1" applyFill="1" applyBorder="1" applyAlignment="1">
      <alignment vertical="center"/>
    </xf>
    <xf numFmtId="0" fontId="29" fillId="0" borderId="8" xfId="63" applyFont="1" applyFill="1" applyBorder="1" applyAlignment="1">
      <alignment vertical="center"/>
    </xf>
    <xf numFmtId="3" fontId="29" fillId="0" borderId="12" xfId="63" applyNumberFormat="1" applyFont="1" applyFill="1" applyBorder="1" applyAlignment="1">
      <alignment horizontal="center" vertical="center"/>
    </xf>
    <xf numFmtId="3" fontId="29" fillId="0" borderId="13" xfId="63" applyNumberFormat="1" applyFont="1" applyFill="1" applyBorder="1" applyAlignment="1">
      <alignment horizontal="center" vertical="center"/>
    </xf>
    <xf numFmtId="0" fontId="35" fillId="0" borderId="1" xfId="63" applyFont="1" applyFill="1" applyBorder="1" applyAlignment="1">
      <alignment vertical="center"/>
    </xf>
    <xf numFmtId="0" fontId="35" fillId="0" borderId="3" xfId="63" applyFont="1" applyFill="1" applyBorder="1" applyAlignment="1">
      <alignment vertical="center"/>
    </xf>
    <xf numFmtId="0" fontId="35" fillId="0" borderId="5" xfId="63" applyFont="1" applyFill="1" applyBorder="1" applyAlignment="1">
      <alignment horizontal="left" vertical="center" indent="1"/>
    </xf>
    <xf numFmtId="0" fontId="29" fillId="0" borderId="12" xfId="63" applyFont="1" applyFill="1" applyBorder="1" applyAlignment="1">
      <alignment horizontal="center" vertical="center"/>
    </xf>
    <xf numFmtId="0" fontId="29" fillId="0" borderId="13" xfId="63" applyFont="1" applyFill="1" applyBorder="1" applyAlignment="1">
      <alignment horizontal="center" vertical="center"/>
    </xf>
    <xf numFmtId="3" fontId="29" fillId="0" borderId="15" xfId="63" applyNumberFormat="1" applyFont="1" applyFill="1" applyBorder="1" applyAlignment="1">
      <alignment vertical="center"/>
    </xf>
    <xf numFmtId="3" fontId="29" fillId="0" borderId="13" xfId="63" applyNumberFormat="1" applyFont="1" applyFill="1" applyBorder="1" applyAlignment="1">
      <alignment vertical="center"/>
    </xf>
    <xf numFmtId="0" fontId="29" fillId="0" borderId="5" xfId="63" applyFont="1" applyFill="1" applyBorder="1" applyAlignment="1">
      <alignment vertical="center"/>
    </xf>
    <xf numFmtId="0" fontId="35" fillId="0" borderId="4" xfId="63" applyFont="1" applyFill="1" applyBorder="1" applyAlignment="1">
      <alignment vertical="center" wrapText="1"/>
    </xf>
    <xf numFmtId="0" fontId="35" fillId="0" borderId="10" xfId="63" applyFont="1" applyFill="1" applyBorder="1" applyAlignment="1">
      <alignment vertical="center"/>
    </xf>
    <xf numFmtId="0" fontId="29" fillId="0" borderId="9" xfId="63" applyFont="1" applyFill="1" applyBorder="1" applyAlignment="1">
      <alignment vertical="center"/>
    </xf>
    <xf numFmtId="0" fontId="29" fillId="0" borderId="11" xfId="63" applyFont="1" applyFill="1" applyBorder="1" applyAlignment="1">
      <alignment vertical="center"/>
    </xf>
    <xf numFmtId="0" fontId="29" fillId="0" borderId="4" xfId="63" applyFont="1" applyFill="1" applyBorder="1" applyAlignment="1">
      <alignment vertical="center" wrapText="1"/>
    </xf>
    <xf numFmtId="0" fontId="38" fillId="0" borderId="1" xfId="63" applyFont="1" applyFill="1" applyBorder="1" applyAlignment="1">
      <alignment horizontal="center" vertical="center"/>
    </xf>
    <xf numFmtId="0" fontId="38" fillId="0" borderId="2" xfId="63" applyFont="1" applyFill="1" applyBorder="1" applyAlignment="1">
      <alignment horizontal="center" vertical="center"/>
    </xf>
    <xf numFmtId="0" fontId="38" fillId="0" borderId="3" xfId="63" applyFont="1" applyFill="1" applyBorder="1" applyAlignment="1">
      <alignment horizontal="center" vertical="center"/>
    </xf>
    <xf numFmtId="0" fontId="34" fillId="0" borderId="4" xfId="63" applyFont="1" applyFill="1" applyBorder="1" applyAlignment="1">
      <alignment horizontal="center" vertical="center"/>
    </xf>
    <xf numFmtId="0" fontId="34" fillId="0" borderId="0" xfId="63" applyFont="1" applyFill="1" applyBorder="1" applyAlignment="1">
      <alignment horizontal="center" vertical="center"/>
    </xf>
    <xf numFmtId="0" fontId="34" fillId="0" borderId="5" xfId="63" applyFont="1" applyFill="1" applyBorder="1" applyAlignment="1">
      <alignment horizontal="center" vertical="center"/>
    </xf>
    <xf numFmtId="0" fontId="33" fillId="0" borderId="4" xfId="63" applyFont="1" applyFill="1" applyBorder="1" applyAlignment="1">
      <alignment horizontal="center" vertical="center"/>
    </xf>
    <xf numFmtId="0" fontId="33" fillId="0" borderId="0" xfId="63" applyFont="1" applyFill="1" applyBorder="1" applyAlignment="1">
      <alignment horizontal="center" vertical="center"/>
    </xf>
    <xf numFmtId="0" fontId="33" fillId="0" borderId="5" xfId="63" applyFont="1" applyFill="1" applyBorder="1" applyAlignment="1">
      <alignment horizontal="center" vertical="center"/>
    </xf>
    <xf numFmtId="0" fontId="29" fillId="0" borderId="6" xfId="63" applyFont="1" applyFill="1" applyBorder="1" applyAlignment="1">
      <alignment horizontal="center" vertical="center"/>
    </xf>
    <xf numFmtId="0" fontId="29" fillId="0" borderId="7" xfId="63" applyFont="1" applyFill="1" applyBorder="1" applyAlignment="1">
      <alignment horizontal="center" vertical="center"/>
    </xf>
    <xf numFmtId="0" fontId="29" fillId="0" borderId="8" xfId="63" applyFont="1" applyFill="1" applyBorder="1" applyAlignment="1">
      <alignment horizontal="center" vertical="center"/>
    </xf>
    <xf numFmtId="0" fontId="29" fillId="0" borderId="12" xfId="63" applyFont="1" applyFill="1" applyBorder="1" applyAlignment="1">
      <alignment horizontal="center" vertical="center" wrapText="1"/>
    </xf>
    <xf numFmtId="0" fontId="29" fillId="0" borderId="13" xfId="63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/>
    </xf>
    <xf numFmtId="0" fontId="35" fillId="0" borderId="0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35" fillId="0" borderId="4" xfId="0" applyFont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left" vertical="center"/>
    </xf>
    <xf numFmtId="0" fontId="29" fillId="27" borderId="12" xfId="0" applyFont="1" applyFill="1" applyBorder="1" applyAlignment="1">
      <alignment horizontal="center" vertical="center" wrapText="1"/>
    </xf>
    <xf numFmtId="0" fontId="29" fillId="27" borderId="13" xfId="0" applyFont="1" applyFill="1" applyBorder="1" applyAlignment="1">
      <alignment horizontal="center" vertical="center" wrapText="1"/>
    </xf>
    <xf numFmtId="0" fontId="29" fillId="27" borderId="12" xfId="0" applyFont="1" applyFill="1" applyBorder="1" applyAlignment="1">
      <alignment horizontal="center" vertical="center"/>
    </xf>
    <xf numFmtId="0" fontId="29" fillId="27" borderId="13" xfId="0" applyFont="1" applyFill="1" applyBorder="1" applyAlignment="1">
      <alignment horizontal="center" vertical="center"/>
    </xf>
    <xf numFmtId="0" fontId="29" fillId="27" borderId="6" xfId="0" applyFont="1" applyFill="1" applyBorder="1" applyAlignment="1">
      <alignment horizontal="center" vertical="center"/>
    </xf>
    <xf numFmtId="0" fontId="29" fillId="27" borderId="7" xfId="0" applyFont="1" applyFill="1" applyBorder="1" applyAlignment="1">
      <alignment horizontal="center" vertical="center"/>
    </xf>
    <xf numFmtId="0" fontId="29" fillId="27" borderId="8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justify" vertical="center"/>
    </xf>
    <xf numFmtId="0" fontId="35" fillId="0" borderId="2" xfId="0" applyFont="1" applyBorder="1" applyAlignment="1">
      <alignment horizontal="justify" vertical="center"/>
    </xf>
    <xf numFmtId="0" fontId="35" fillId="0" borderId="3" xfId="0" applyFont="1" applyBorder="1" applyAlignment="1">
      <alignment horizontal="justify" vertical="center"/>
    </xf>
    <xf numFmtId="0" fontId="29" fillId="27" borderId="1" xfId="0" applyFont="1" applyFill="1" applyBorder="1" applyAlignment="1">
      <alignment horizontal="center" vertical="center"/>
    </xf>
    <xf numFmtId="0" fontId="29" fillId="27" borderId="2" xfId="0" applyFont="1" applyFill="1" applyBorder="1" applyAlignment="1">
      <alignment horizontal="center" vertical="center"/>
    </xf>
    <xf numFmtId="0" fontId="29" fillId="27" borderId="3" xfId="0" applyFont="1" applyFill="1" applyBorder="1" applyAlignment="1">
      <alignment horizontal="center" vertical="center"/>
    </xf>
    <xf numFmtId="0" fontId="29" fillId="27" borderId="9" xfId="0" applyFont="1" applyFill="1" applyBorder="1" applyAlignment="1">
      <alignment horizontal="center" vertical="center"/>
    </xf>
    <xf numFmtId="0" fontId="29" fillId="27" borderId="10" xfId="0" applyFont="1" applyFill="1" applyBorder="1" applyAlignment="1">
      <alignment horizontal="center" vertical="center"/>
    </xf>
    <xf numFmtId="0" fontId="29" fillId="27" borderId="11" xfId="0" applyFont="1" applyFill="1" applyBorder="1" applyAlignment="1">
      <alignment horizontal="center" vertical="center"/>
    </xf>
    <xf numFmtId="0" fontId="29" fillId="27" borderId="15" xfId="0" applyFont="1" applyFill="1" applyBorder="1" applyAlignment="1">
      <alignment horizontal="center" vertical="center"/>
    </xf>
    <xf numFmtId="0" fontId="29" fillId="27" borderId="4" xfId="0" applyFont="1" applyFill="1" applyBorder="1" applyAlignment="1">
      <alignment horizontal="center" vertical="center"/>
    </xf>
    <xf numFmtId="0" fontId="29" fillId="27" borderId="0" xfId="0" applyFont="1" applyFill="1" applyBorder="1" applyAlignment="1">
      <alignment horizontal="center" vertical="center"/>
    </xf>
    <xf numFmtId="0" fontId="29" fillId="27" borderId="5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2" borderId="9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171" fontId="29" fillId="2" borderId="12" xfId="1" applyNumberFormat="1" applyFont="1" applyFill="1" applyBorder="1" applyAlignment="1">
      <alignment horizontal="center" vertical="center"/>
    </xf>
    <xf numFmtId="171" fontId="29" fillId="2" borderId="13" xfId="1" applyNumberFormat="1" applyFont="1" applyFill="1" applyBorder="1" applyAlignment="1">
      <alignment horizontal="center" vertical="center"/>
    </xf>
    <xf numFmtId="0" fontId="29" fillId="2" borderId="9" xfId="1" applyFont="1" applyFill="1" applyBorder="1" applyAlignment="1">
      <alignment horizontal="left" vertical="center"/>
    </xf>
    <xf numFmtId="0" fontId="29" fillId="2" borderId="11" xfId="1" applyFont="1" applyFill="1" applyBorder="1" applyAlignment="1">
      <alignment horizontal="left" vertical="center"/>
    </xf>
    <xf numFmtId="0" fontId="28" fillId="2" borderId="0" xfId="1" applyFont="1" applyFill="1" applyAlignment="1">
      <alignment horizontal="left" wrapText="1"/>
    </xf>
    <xf numFmtId="0" fontId="31" fillId="2" borderId="4" xfId="1" applyFont="1" applyFill="1" applyBorder="1" applyAlignment="1">
      <alignment horizontal="left" vertical="center" wrapText="1"/>
    </xf>
    <xf numFmtId="0" fontId="31" fillId="2" borderId="0" xfId="1" applyFont="1" applyFill="1" applyBorder="1" applyAlignment="1">
      <alignment horizontal="left" vertical="center" wrapText="1"/>
    </xf>
    <xf numFmtId="0" fontId="38" fillId="2" borderId="1" xfId="1" applyFont="1" applyFill="1" applyBorder="1" applyAlignment="1">
      <alignment horizontal="center"/>
    </xf>
    <xf numFmtId="0" fontId="38" fillId="2" borderId="2" xfId="1" applyFont="1" applyFill="1" applyBorder="1" applyAlignment="1">
      <alignment horizontal="center"/>
    </xf>
    <xf numFmtId="0" fontId="38" fillId="2" borderId="3" xfId="1" applyFont="1" applyFill="1" applyBorder="1" applyAlignment="1">
      <alignment horizontal="center"/>
    </xf>
    <xf numFmtId="0" fontId="34" fillId="2" borderId="4" xfId="1" applyFont="1" applyFill="1" applyBorder="1" applyAlignment="1">
      <alignment horizontal="center"/>
    </xf>
    <xf numFmtId="0" fontId="34" fillId="2" borderId="0" xfId="1" applyFont="1" applyFill="1" applyBorder="1" applyAlignment="1">
      <alignment horizontal="center"/>
    </xf>
    <xf numFmtId="0" fontId="34" fillId="2" borderId="5" xfId="1" applyFont="1" applyFill="1" applyBorder="1" applyAlignment="1">
      <alignment horizontal="center"/>
    </xf>
    <xf numFmtId="0" fontId="32" fillId="2" borderId="4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32" fillId="2" borderId="5" xfId="1" applyFont="1" applyFill="1" applyBorder="1" applyAlignment="1">
      <alignment horizontal="center" vertical="center"/>
    </xf>
    <xf numFmtId="0" fontId="32" fillId="2" borderId="6" xfId="1" applyFont="1" applyFill="1" applyBorder="1" applyAlignment="1">
      <alignment horizontal="center" vertical="top"/>
    </xf>
    <xf numFmtId="0" fontId="32" fillId="2" borderId="7" xfId="1" applyFont="1" applyFill="1" applyBorder="1" applyAlignment="1">
      <alignment horizontal="center" vertical="top"/>
    </xf>
    <xf numFmtId="0" fontId="32" fillId="2" borderId="8" xfId="1" applyFont="1" applyFill="1" applyBorder="1" applyAlignment="1">
      <alignment horizontal="center" vertical="top"/>
    </xf>
    <xf numFmtId="0" fontId="33" fillId="2" borderId="1" xfId="1" applyFont="1" applyFill="1" applyBorder="1" applyAlignment="1">
      <alignment horizontal="center" vertical="center"/>
    </xf>
    <xf numFmtId="0" fontId="33" fillId="2" borderId="2" xfId="1" applyFont="1" applyFill="1" applyBorder="1" applyAlignment="1">
      <alignment horizontal="center" vertical="center"/>
    </xf>
    <xf numFmtId="0" fontId="33" fillId="2" borderId="4" xfId="1" applyFont="1" applyFill="1" applyBorder="1" applyAlignment="1">
      <alignment horizontal="center" vertical="center"/>
    </xf>
    <xf numFmtId="0" fontId="33" fillId="2" borderId="0" xfId="1" applyFont="1" applyFill="1" applyBorder="1" applyAlignment="1">
      <alignment horizontal="center" vertical="center"/>
    </xf>
    <xf numFmtId="0" fontId="33" fillId="2" borderId="6" xfId="1" applyFont="1" applyFill="1" applyBorder="1" applyAlignment="1">
      <alignment horizontal="center" vertical="center"/>
    </xf>
    <xf numFmtId="0" fontId="33" fillId="2" borderId="7" xfId="1" applyFont="1" applyFill="1" applyBorder="1" applyAlignment="1">
      <alignment horizontal="center" vertical="center"/>
    </xf>
    <xf numFmtId="0" fontId="40" fillId="2" borderId="3" xfId="1" applyFont="1" applyFill="1" applyBorder="1" applyAlignment="1">
      <alignment horizontal="center" vertical="center" wrapText="1"/>
    </xf>
    <xf numFmtId="0" fontId="40" fillId="2" borderId="5" xfId="1" applyFont="1" applyFill="1" applyBorder="1" applyAlignment="1">
      <alignment horizontal="center" vertical="center" wrapText="1"/>
    </xf>
    <xf numFmtId="0" fontId="40" fillId="2" borderId="8" xfId="1" applyFont="1" applyFill="1" applyBorder="1" applyAlignment="1">
      <alignment horizontal="center" vertical="center" wrapText="1"/>
    </xf>
    <xf numFmtId="0" fontId="33" fillId="2" borderId="9" xfId="1" applyFont="1" applyFill="1" applyBorder="1" applyAlignment="1">
      <alignment horizontal="center"/>
    </xf>
    <xf numFmtId="0" fontId="33" fillId="2" borderId="10" xfId="1" applyFont="1" applyFill="1" applyBorder="1" applyAlignment="1">
      <alignment horizontal="center"/>
    </xf>
    <xf numFmtId="0" fontId="33" fillId="2" borderId="11" xfId="1" applyFont="1" applyFill="1" applyBorder="1" applyAlignment="1">
      <alignment horizontal="center"/>
    </xf>
    <xf numFmtId="0" fontId="29" fillId="2" borderId="9" xfId="1" applyFont="1" applyFill="1" applyBorder="1" applyAlignment="1">
      <alignment horizontal="center"/>
    </xf>
    <xf numFmtId="0" fontId="29" fillId="2" borderId="10" xfId="1" applyFont="1" applyFill="1" applyBorder="1" applyAlignment="1">
      <alignment horizontal="center"/>
    </xf>
    <xf numFmtId="0" fontId="29" fillId="2" borderId="11" xfId="1" applyFont="1" applyFill="1" applyBorder="1" applyAlignment="1">
      <alignment horizontal="center"/>
    </xf>
    <xf numFmtId="0" fontId="35" fillId="2" borderId="0" xfId="58" applyFont="1" applyFill="1" applyBorder="1" applyAlignment="1">
      <alignment horizontal="left" wrapText="1"/>
    </xf>
    <xf numFmtId="0" fontId="31" fillId="2" borderId="0" xfId="1" applyFont="1" applyFill="1" applyBorder="1" applyAlignment="1">
      <alignment horizontal="left" wrapText="1"/>
    </xf>
    <xf numFmtId="0" fontId="29" fillId="2" borderId="1" xfId="1" applyFont="1" applyFill="1" applyBorder="1" applyAlignment="1">
      <alignment horizontal="center" vertical="center"/>
    </xf>
    <xf numFmtId="0" fontId="29" fillId="2" borderId="2" xfId="1" applyFont="1" applyFill="1" applyBorder="1" applyAlignment="1">
      <alignment horizontal="center" vertical="center"/>
    </xf>
    <xf numFmtId="0" fontId="29" fillId="2" borderId="4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9" fillId="2" borderId="6" xfId="1" applyFont="1" applyFill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/>
    </xf>
    <xf numFmtId="0" fontId="30" fillId="2" borderId="3" xfId="1" applyFont="1" applyFill="1" applyBorder="1" applyAlignment="1">
      <alignment horizontal="center" vertical="center" wrapText="1"/>
    </xf>
    <xf numFmtId="0" fontId="30" fillId="2" borderId="5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</cellXfs>
  <cellStyles count="66"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Entrada" xfId="9" builtinId="20" customBuiltin="1"/>
    <cellStyle name="Incorrecto" xfId="7" builtinId="27" customBuiltin="1"/>
    <cellStyle name="Millares" xfId="62" builtinId="3"/>
    <cellStyle name="Neutral" xfId="8" builtinId="28" customBuiltin="1"/>
    <cellStyle name="Normal" xfId="0" builtinId="0" customBuiltin="1"/>
    <cellStyle name="Normal 10" xfId="65"/>
    <cellStyle name="Normal 2" xfId="58"/>
    <cellStyle name="Normal 29" xfId="61"/>
    <cellStyle name="Normal 7" xfId="60"/>
    <cellStyle name="Normal 7 2" xfId="63"/>
    <cellStyle name="Normal 8" xfId="1"/>
    <cellStyle name="Normal 9" xfId="59"/>
    <cellStyle name="Normal 9 2" xfId="64"/>
    <cellStyle name="Notas" xfId="15" builtinId="10" customBuiltin="1"/>
    <cellStyle name="Salida" xfId="10" builtinId="21" customBuiltin="1"/>
    <cellStyle name="SAPBEXaggData" xfId="18"/>
    <cellStyle name="SAPBEXaggDataEmph" xfId="19"/>
    <cellStyle name="SAPBEXaggItem" xfId="20"/>
    <cellStyle name="SAPBEXaggItemX" xfId="21"/>
    <cellStyle name="SAPBEXchaText" xfId="22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32"/>
    <cellStyle name="SAPBEXfilterItem" xfId="33"/>
    <cellStyle name="SAPBEXfilterText" xfId="34"/>
    <cellStyle name="SAPBEXformats" xfId="35"/>
    <cellStyle name="SAPBEXheaderItem" xfId="36"/>
    <cellStyle name="SAPBEXheaderText" xfId="37"/>
    <cellStyle name="SAPBEXHLevel0" xfId="38"/>
    <cellStyle name="SAPBEXHLevel0X" xfId="39"/>
    <cellStyle name="SAPBEXHLevel1" xfId="40"/>
    <cellStyle name="SAPBEXHLevel1X" xfId="41"/>
    <cellStyle name="SAPBEXHLevel2" xfId="42"/>
    <cellStyle name="SAPBEXHLevel2X" xfId="43"/>
    <cellStyle name="SAPBEXHLevel3" xfId="44"/>
    <cellStyle name="SAPBEXHLevel3X" xfId="45"/>
    <cellStyle name="SAPBEXinputData" xfId="46"/>
    <cellStyle name="SAPBEXresData" xfId="47"/>
    <cellStyle name="SAPBEXresDataEmph" xfId="48"/>
    <cellStyle name="SAPBEXresItem" xfId="49"/>
    <cellStyle name="SAPBEXresItemX" xfId="50"/>
    <cellStyle name="SAPBEXstdData" xfId="51"/>
    <cellStyle name="SAPBEXstdDataEmph" xfId="52"/>
    <cellStyle name="SAPBEXstdItem" xfId="53"/>
    <cellStyle name="SAPBEXstdItemX" xfId="54"/>
    <cellStyle name="SAPBEXtitle" xfId="55"/>
    <cellStyle name="SAPBEXundefined" xfId="56"/>
    <cellStyle name="Sheet Title" xfId="57"/>
    <cellStyle name="Texto de advertencia" xfId="14" builtinId="11" customBuiltin="1"/>
    <cellStyle name="Texto explicativo" xfId="16" builtinId="53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gif"/><Relationship Id="rId2" Type="http://schemas.openxmlformats.org/officeDocument/2006/relationships/image" Target="../media/image7.gif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250032</xdr:colOff>
      <xdr:row>1</xdr:row>
      <xdr:rowOff>23814</xdr:rowOff>
    </xdr:from>
    <xdr:ext cx="740568" cy="716373"/>
    <xdr:pic>
      <xdr:nvPicPr>
        <xdr:cNvPr id="2" name="6 Imagen">
          <a:extLst>
            <a:ext uri="{FF2B5EF4-FFF2-40B4-BE49-F238E27FC236}">
              <a16:creationId xmlns:a16="http://schemas.microsoft.com/office/drawing/2014/main" xmlns="" id="{8BB0C1EC-3DCD-4EEE-8439-94AED20EB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2" y="185739"/>
          <a:ext cx="740568" cy="716373"/>
        </a:xfrm>
        <a:prstGeom prst="rect">
          <a:avLst/>
        </a:prstGeom>
      </xdr:spPr>
    </xdr:pic>
    <xdr:clientData/>
  </xdr:oneCellAnchor>
  <xdr:twoCellAnchor>
    <xdr:from>
      <xdr:col>1</xdr:col>
      <xdr:colOff>2446641</xdr:colOff>
      <xdr:row>89</xdr:row>
      <xdr:rowOff>142875</xdr:rowOff>
    </xdr:from>
    <xdr:to>
      <xdr:col>2</xdr:col>
      <xdr:colOff>608233</xdr:colOff>
      <xdr:row>89</xdr:row>
      <xdr:rowOff>147091</xdr:rowOff>
    </xdr:to>
    <xdr:cxnSp macro="">
      <xdr:nvCxnSpPr>
        <xdr:cNvPr id="3" name="5 Conector recto"/>
        <xdr:cNvCxnSpPr/>
      </xdr:nvCxnSpPr>
      <xdr:spPr>
        <a:xfrm flipV="1">
          <a:off x="1522716" y="14554200"/>
          <a:ext cx="609517" cy="421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166688</xdr:colOff>
      <xdr:row>1</xdr:row>
      <xdr:rowOff>38100</xdr:rowOff>
    </xdr:from>
    <xdr:ext cx="944675" cy="565562"/>
    <xdr:pic>
      <xdr:nvPicPr>
        <xdr:cNvPr id="2" name="2 Imagen">
          <a:extLst>
            <a:ext uri="{FF2B5EF4-FFF2-40B4-BE49-F238E27FC236}">
              <a16:creationId xmlns:a16="http://schemas.microsoft.com/office/drawing/2014/main" xmlns="" id="{8535AF23-32F3-43D4-8CDB-6185ABBD5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200025"/>
          <a:ext cx="944675" cy="565562"/>
        </a:xfrm>
        <a:prstGeom prst="rect">
          <a:avLst/>
        </a:prstGeom>
      </xdr:spPr>
    </xdr:pic>
    <xdr:clientData/>
  </xdr:oneCellAnchor>
  <xdr:twoCellAnchor>
    <xdr:from>
      <xdr:col>3</xdr:col>
      <xdr:colOff>60238</xdr:colOff>
      <xdr:row>85</xdr:row>
      <xdr:rowOff>95250</xdr:rowOff>
    </xdr:from>
    <xdr:to>
      <xdr:col>6</xdr:col>
      <xdr:colOff>208791</xdr:colOff>
      <xdr:row>85</xdr:row>
      <xdr:rowOff>97631</xdr:rowOff>
    </xdr:to>
    <xdr:cxnSp macro="">
      <xdr:nvCxnSpPr>
        <xdr:cNvPr id="3" name="5 Conector recto"/>
        <xdr:cNvCxnSpPr/>
      </xdr:nvCxnSpPr>
      <xdr:spPr>
        <a:xfrm flipV="1">
          <a:off x="2346238" y="13858875"/>
          <a:ext cx="2434553" cy="238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78581</xdr:colOff>
      <xdr:row>2</xdr:row>
      <xdr:rowOff>57748</xdr:rowOff>
    </xdr:from>
    <xdr:to>
      <xdr:col>1</xdr:col>
      <xdr:colOff>492129</xdr:colOff>
      <xdr:row>4</xdr:row>
      <xdr:rowOff>381000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" y="257773"/>
          <a:ext cx="956473" cy="75187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749300</xdr:colOff>
      <xdr:row>1</xdr:row>
      <xdr:rowOff>1587</xdr:rowOff>
    </xdr:to>
    <xdr:pic macro="[1]!DesignIconClicked">
      <xdr:nvPicPr>
        <xdr:cNvPr id="3" name="BExMLKV9F5Q4TDHEU9DYAJN0HO2N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0"/>
          <a:ext cx="74930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368300</xdr:colOff>
      <xdr:row>1</xdr:row>
      <xdr:rowOff>1587</xdr:rowOff>
    </xdr:to>
    <xdr:pic macro="[1]!DesignIconClicked">
      <xdr:nvPicPr>
        <xdr:cNvPr id="4" name="BExZKW1U8F4CR7RLHCGTV58AN7KE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0"/>
          <a:ext cx="3683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3473450</xdr:colOff>
      <xdr:row>1</xdr:row>
      <xdr:rowOff>1587</xdr:rowOff>
    </xdr:to>
    <xdr:pic macro="[1]!DesignIconClicked">
      <xdr:nvPicPr>
        <xdr:cNvPr id="5" name="BEx3O6I8TX3JNRAYR5HIGSAZDTDJ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73450" cy="15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97631</xdr:colOff>
      <xdr:row>2</xdr:row>
      <xdr:rowOff>76798</xdr:rowOff>
    </xdr:from>
    <xdr:to>
      <xdr:col>3</xdr:col>
      <xdr:colOff>342900</xdr:colOff>
      <xdr:row>4</xdr:row>
      <xdr:rowOff>316228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" y="295873"/>
          <a:ext cx="750094" cy="68710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1196975</xdr:colOff>
      <xdr:row>1</xdr:row>
      <xdr:rowOff>1587</xdr:rowOff>
    </xdr:to>
    <xdr:pic macro="[1]!DesignIconClicked">
      <xdr:nvPicPr>
        <xdr:cNvPr id="3" name="BExY1L7M7O43JDJQRBI0RU7PSBZ2" hidden="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0"/>
          <a:ext cx="311150" cy="158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749300</xdr:colOff>
      <xdr:row>1</xdr:row>
      <xdr:rowOff>1587</xdr:rowOff>
    </xdr:to>
    <xdr:pic macro="[1]!DesignIconClicked">
      <xdr:nvPicPr>
        <xdr:cNvPr id="4" name="BEx1IN619J4PXKKZMRK4KVYKNGQQ" hidden="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0"/>
          <a:ext cx="7493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844550</xdr:colOff>
      <xdr:row>1</xdr:row>
      <xdr:rowOff>1587</xdr:rowOff>
    </xdr:to>
    <xdr:pic macro="[1]!DesignIconClicked">
      <xdr:nvPicPr>
        <xdr:cNvPr id="5" name="BExB2U2MEIEGXNJ4V50POCIAVIAV" hidden="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675" cy="15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0</xdr:col>
      <xdr:colOff>2572103</xdr:colOff>
      <xdr:row>5</xdr:row>
      <xdr:rowOff>118986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9100"/>
          <a:ext cx="2572103" cy="83336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3" name="BExB3JEA8WJWW7ZJJXEIFWLPL6AL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4" name="BEx3DCG31N52PDLPV743MJ4P9VE5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5" name="BExIRADYB4DVAU70DUPZGNQIRIL6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6" name="BExCY8DK05DM5BSEY9N2HOI3KU1R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7" name="BExF5ON7GM7LWROVYTCETT5011BP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8" name="BEx9I7KVCY8TK4AGPU8OJVJD1CZ6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9" name="BExU9T8LJ8EB73V8F77O4P1X1GVF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10" name="BExCTT34E529TWFII0K8S7NM70IW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11" name="BExB3JEA8WJWW7ZJJXEIFWLPL6AL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12" name="BEx3DCG31N52PDLPV743MJ4P9VE5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13" name="BExIRADYB4DVAU70DUPZGNQIRIL6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14" name="BExCY8DK05DM5BSEY9N2HOI3KU1R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15" name="BExF5ON7GM7LWROVYTCETT5011BP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16" name="BEx9I7KVCY8TK4AGPU8OJVJD1CZ6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17" name="BExU9T8LJ8EB73V8F77O4P1X1GVF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18" name="BExCTT34E529TWFII0K8S7NM70IW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19" name="BExB3JEA8WJWW7ZJJXEIFWLPL6AL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20" name="BEx3DCG31N52PDLPV743MJ4P9VE5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21" name="BExIRADYB4DVAU70DUPZGNQIRIL6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22" name="BExCY8DK05DM5BSEY9N2HOI3KU1R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23" name="BExF5ON7GM7LWROVYTCETT5011BP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24" name="BEx9I7KVCY8TK4AGPU8OJVJD1CZ6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25" name="BExU9T8LJ8EB73V8F77O4P1X1GVF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26" name="BExCTT34E529TWFII0K8S7NM70IW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27" name="BEx1NNQKWLSSRTIT7QYKCKQIOYXP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28" name="BExGTR7L2KOVAVR5RGC3Q0ZC7RU1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29" name="BExSBKAGC9649EG55B1JQ8XRMB17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30" name="BEx1UR8AMC26TR8ZHUI9MCBKWHIV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31" name="BEx5B6EQ4ZTDMI23Y7MGCAB697K6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32" name="BExB779J8D4US61G3ZOIJECFEEJL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33" name="BExUCAUHTK39HWQRUZCIORQQ1U3F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242</xdr:row>
      <xdr:rowOff>0</xdr:rowOff>
    </xdr:from>
    <xdr:to>
      <xdr:col>5</xdr:col>
      <xdr:colOff>50800</xdr:colOff>
      <xdr:row>242</xdr:row>
      <xdr:rowOff>50800</xdr:rowOff>
    </xdr:to>
    <xdr:pic macro="[1]!DesignIconClicked">
      <xdr:nvPicPr>
        <xdr:cNvPr id="34" name="BExIT1MJLRQ2WG0ODXRLSBO35OXT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663725"/>
          <a:ext cx="50800" cy="50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46</xdr:col>
      <xdr:colOff>730250</xdr:colOff>
      <xdr:row>61</xdr:row>
      <xdr:rowOff>20637</xdr:rowOff>
    </xdr:to>
    <xdr:pic macro="[2]!DesignIconClicked">
      <xdr:nvPicPr>
        <xdr:cNvPr id="2" name="BExODFSSBWL1JGCPQW88B2FT4LS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118250" cy="10188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BexGetData"/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91"/>
  <sheetViews>
    <sheetView tabSelected="1" topLeftCell="A2" workbookViewId="0">
      <selection activeCell="A2" sqref="A2:E2"/>
    </sheetView>
  </sheetViews>
  <sheetFormatPr baseColWidth="10" defaultRowHeight="12.75" x14ac:dyDescent="0.2"/>
  <cols>
    <col min="1" max="1" width="2.42578125" style="148" customWidth="1"/>
    <col min="2" max="2" width="68.85546875" style="148" customWidth="1"/>
    <col min="3" max="3" width="14.5703125" style="148" bestFit="1" customWidth="1"/>
    <col min="4" max="5" width="11" style="148" bestFit="1" customWidth="1"/>
    <col min="6" max="6" width="11.42578125" style="148"/>
    <col min="7" max="7" width="14.85546875" style="148" bestFit="1" customWidth="1"/>
    <col min="8" max="16384" width="11.42578125" style="148"/>
  </cols>
  <sheetData>
    <row r="1" spans="1:20" ht="13.5" hidden="1" thickBot="1" x14ac:dyDescent="0.25">
      <c r="A1" s="198" t="s">
        <v>488</v>
      </c>
      <c r="B1" s="198" t="s">
        <v>487</v>
      </c>
      <c r="G1" s="148" t="s">
        <v>483</v>
      </c>
      <c r="H1" s="148" t="s">
        <v>486</v>
      </c>
      <c r="I1" s="148" t="s">
        <v>485</v>
      </c>
      <c r="J1" s="148" t="s">
        <v>484</v>
      </c>
      <c r="K1" s="197">
        <v>42735</v>
      </c>
      <c r="L1" s="148">
        <v>31</v>
      </c>
      <c r="P1" s="148" t="s">
        <v>483</v>
      </c>
      <c r="S1" s="148" t="s">
        <v>482</v>
      </c>
      <c r="T1" s="148">
        <v>0</v>
      </c>
    </row>
    <row r="2" spans="1:20" ht="18" x14ac:dyDescent="0.2">
      <c r="A2" s="249" t="s">
        <v>0</v>
      </c>
      <c r="B2" s="250"/>
      <c r="C2" s="250"/>
      <c r="D2" s="250"/>
      <c r="E2" s="251"/>
    </row>
    <row r="3" spans="1:20" ht="15.75" x14ac:dyDescent="0.2">
      <c r="A3" s="252" t="s">
        <v>481</v>
      </c>
      <c r="B3" s="253"/>
      <c r="C3" s="253"/>
      <c r="D3" s="253"/>
      <c r="E3" s="254"/>
    </row>
    <row r="4" spans="1:20" x14ac:dyDescent="0.2">
      <c r="A4" s="255" t="s">
        <v>480</v>
      </c>
      <c r="B4" s="256"/>
      <c r="C4" s="256"/>
      <c r="D4" s="256"/>
      <c r="E4" s="257"/>
    </row>
    <row r="5" spans="1:20" ht="14.25" thickBot="1" x14ac:dyDescent="0.25">
      <c r="A5" s="258" t="s">
        <v>479</v>
      </c>
      <c r="B5" s="259"/>
      <c r="C5" s="259"/>
      <c r="D5" s="259"/>
      <c r="E5" s="260"/>
    </row>
    <row r="6" spans="1:20" ht="14.25" thickBot="1" x14ac:dyDescent="0.25">
      <c r="A6" s="196"/>
      <c r="B6" s="196"/>
      <c r="C6" s="196"/>
      <c r="D6" s="196"/>
      <c r="E6" s="196"/>
    </row>
    <row r="7" spans="1:20" ht="13.5" x14ac:dyDescent="0.2">
      <c r="A7" s="231" t="s">
        <v>478</v>
      </c>
      <c r="B7" s="232"/>
      <c r="C7" s="195" t="s">
        <v>459</v>
      </c>
      <c r="D7" s="261" t="s">
        <v>2</v>
      </c>
      <c r="E7" s="195" t="s">
        <v>447</v>
      </c>
    </row>
    <row r="8" spans="1:20" ht="14.25" thickBot="1" x14ac:dyDescent="0.25">
      <c r="A8" s="228"/>
      <c r="B8" s="233"/>
      <c r="C8" s="194" t="s">
        <v>477</v>
      </c>
      <c r="D8" s="262"/>
      <c r="E8" s="194" t="s">
        <v>476</v>
      </c>
    </row>
    <row r="9" spans="1:20" ht="13.5" x14ac:dyDescent="0.2">
      <c r="A9" s="186"/>
      <c r="B9" s="185"/>
      <c r="C9" s="192"/>
      <c r="D9" s="192"/>
      <c r="E9" s="192"/>
    </row>
    <row r="10" spans="1:20" ht="13.5" x14ac:dyDescent="0.2">
      <c r="A10" s="186"/>
      <c r="B10" s="180" t="s">
        <v>475</v>
      </c>
      <c r="C10" s="190">
        <f>SUM(C11:C13)</f>
        <v>55029207896</v>
      </c>
      <c r="D10" s="190">
        <f>SUM(D11:D13)</f>
        <v>59932273855</v>
      </c>
      <c r="E10" s="190">
        <f>SUM(E11:E13)</f>
        <v>59932273855</v>
      </c>
    </row>
    <row r="11" spans="1:20" ht="13.5" x14ac:dyDescent="0.2">
      <c r="A11" s="186"/>
      <c r="B11" s="184" t="s">
        <v>474</v>
      </c>
      <c r="C11" s="191">
        <v>31863449021</v>
      </c>
      <c r="D11" s="191">
        <v>34219213557</v>
      </c>
      <c r="E11" s="191">
        <v>34219213557</v>
      </c>
    </row>
    <row r="12" spans="1:20" ht="13.5" x14ac:dyDescent="0.2">
      <c r="A12" s="186"/>
      <c r="B12" s="184" t="s">
        <v>445</v>
      </c>
      <c r="C12" s="191">
        <v>20088430923</v>
      </c>
      <c r="D12" s="191">
        <v>24075903974</v>
      </c>
      <c r="E12" s="191">
        <v>24075903974</v>
      </c>
    </row>
    <row r="13" spans="1:20" ht="13.5" x14ac:dyDescent="0.2">
      <c r="A13" s="186"/>
      <c r="B13" s="184" t="s">
        <v>473</v>
      </c>
      <c r="C13" s="191">
        <v>3077327952</v>
      </c>
      <c r="D13" s="191">
        <v>1637156324</v>
      </c>
      <c r="E13" s="191">
        <v>1637156324</v>
      </c>
    </row>
    <row r="14" spans="1:20" ht="13.5" x14ac:dyDescent="0.2">
      <c r="A14" s="181"/>
      <c r="B14" s="180"/>
      <c r="C14" s="192"/>
      <c r="D14" s="192"/>
      <c r="E14" s="192"/>
    </row>
    <row r="15" spans="1:20" ht="15.75" x14ac:dyDescent="0.2">
      <c r="A15" s="181"/>
      <c r="B15" s="180" t="s">
        <v>472</v>
      </c>
      <c r="C15" s="190">
        <f>SUM(C16:C17)</f>
        <v>55029207896</v>
      </c>
      <c r="D15" s="190">
        <f>SUM(D16:D17)</f>
        <v>61466006193</v>
      </c>
      <c r="E15" s="190">
        <f>SUM(E16:E17)</f>
        <v>59468311490</v>
      </c>
    </row>
    <row r="16" spans="1:20" ht="13.5" x14ac:dyDescent="0.2">
      <c r="A16" s="186"/>
      <c r="B16" s="184" t="s">
        <v>453</v>
      </c>
      <c r="C16" s="191">
        <v>35022767917</v>
      </c>
      <c r="D16" s="191">
        <v>37636657124</v>
      </c>
      <c r="E16" s="191">
        <v>35787659441</v>
      </c>
      <c r="G16" s="193"/>
    </row>
    <row r="17" spans="1:7" ht="13.5" x14ac:dyDescent="0.2">
      <c r="A17" s="186"/>
      <c r="B17" s="184" t="s">
        <v>471</v>
      </c>
      <c r="C17" s="191">
        <v>20006439979</v>
      </c>
      <c r="D17" s="191">
        <v>23829349069</v>
      </c>
      <c r="E17" s="191">
        <v>23680652049</v>
      </c>
    </row>
    <row r="18" spans="1:7" ht="13.5" x14ac:dyDescent="0.2">
      <c r="A18" s="186"/>
      <c r="B18" s="185"/>
      <c r="C18" s="192"/>
      <c r="D18" s="192"/>
      <c r="E18" s="192"/>
      <c r="G18" s="193"/>
    </row>
    <row r="19" spans="1:7" ht="13.5" x14ac:dyDescent="0.2">
      <c r="A19" s="186"/>
      <c r="B19" s="180" t="s">
        <v>470</v>
      </c>
      <c r="C19" s="192">
        <f>SUM(C20:C21)</f>
        <v>0</v>
      </c>
      <c r="D19" s="192">
        <f>SUM(D20:D21)</f>
        <v>0</v>
      </c>
      <c r="E19" s="192">
        <f>SUM(E20:E21)</f>
        <v>0</v>
      </c>
    </row>
    <row r="20" spans="1:7" ht="13.5" x14ac:dyDescent="0.2">
      <c r="A20" s="186"/>
      <c r="B20" s="184" t="s">
        <v>452</v>
      </c>
      <c r="C20" s="192"/>
      <c r="D20" s="192"/>
      <c r="E20" s="192"/>
    </row>
    <row r="21" spans="1:7" ht="13.5" x14ac:dyDescent="0.2">
      <c r="A21" s="186"/>
      <c r="B21" s="184" t="s">
        <v>440</v>
      </c>
      <c r="C21" s="192"/>
      <c r="D21" s="192"/>
      <c r="E21" s="192"/>
    </row>
    <row r="22" spans="1:7" ht="13.5" x14ac:dyDescent="0.2">
      <c r="A22" s="186"/>
      <c r="B22" s="185"/>
      <c r="C22" s="192"/>
      <c r="D22" s="192"/>
      <c r="E22" s="192"/>
    </row>
    <row r="23" spans="1:7" ht="13.5" x14ac:dyDescent="0.2">
      <c r="A23" s="244"/>
      <c r="B23" s="180" t="s">
        <v>469</v>
      </c>
      <c r="C23" s="191">
        <f>+C10-C15+C19</f>
        <v>0</v>
      </c>
      <c r="D23" s="191">
        <f>+D10-D15+D19</f>
        <v>-1533732338</v>
      </c>
      <c r="E23" s="191">
        <f>+E10-E15+E19</f>
        <v>463962365</v>
      </c>
    </row>
    <row r="24" spans="1:7" ht="13.5" x14ac:dyDescent="0.2">
      <c r="A24" s="244"/>
      <c r="B24" s="180"/>
      <c r="C24" s="191"/>
      <c r="D24" s="191"/>
      <c r="E24" s="191"/>
    </row>
    <row r="25" spans="1:7" ht="13.5" x14ac:dyDescent="0.2">
      <c r="A25" s="244"/>
      <c r="B25" s="180" t="s">
        <v>468</v>
      </c>
      <c r="C25" s="191">
        <f>+C23-C13</f>
        <v>-3077327952</v>
      </c>
      <c r="D25" s="191">
        <f>+D23-D13</f>
        <v>-3170888662</v>
      </c>
      <c r="E25" s="191">
        <f>+E23-E13</f>
        <v>-1173193959</v>
      </c>
    </row>
    <row r="26" spans="1:7" ht="13.5" x14ac:dyDescent="0.2">
      <c r="A26" s="244"/>
      <c r="B26" s="180"/>
      <c r="C26" s="191"/>
      <c r="D26" s="191"/>
      <c r="E26" s="191"/>
    </row>
    <row r="27" spans="1:7" ht="27" x14ac:dyDescent="0.2">
      <c r="A27" s="186"/>
      <c r="B27" s="180" t="s">
        <v>467</v>
      </c>
      <c r="C27" s="190">
        <f>+C25-C19</f>
        <v>-3077327952</v>
      </c>
      <c r="D27" s="190">
        <f>+D25-D19</f>
        <v>-3170888662</v>
      </c>
      <c r="E27" s="190">
        <f>+E25-E19</f>
        <v>-1173193959</v>
      </c>
    </row>
    <row r="28" spans="1:7" ht="14.25" thickBot="1" x14ac:dyDescent="0.25">
      <c r="A28" s="189"/>
      <c r="B28" s="177"/>
      <c r="C28" s="188"/>
      <c r="D28" s="188"/>
      <c r="E28" s="188"/>
    </row>
    <row r="29" spans="1:7" ht="14.25" thickBot="1" x14ac:dyDescent="0.25">
      <c r="A29" s="245"/>
      <c r="B29" s="245"/>
      <c r="C29" s="245"/>
      <c r="D29" s="245"/>
      <c r="E29" s="245"/>
    </row>
    <row r="30" spans="1:7" ht="14.25" thickBot="1" x14ac:dyDescent="0.25">
      <c r="A30" s="246" t="s">
        <v>449</v>
      </c>
      <c r="B30" s="247"/>
      <c r="C30" s="187" t="s">
        <v>458</v>
      </c>
      <c r="D30" s="187" t="s">
        <v>2</v>
      </c>
      <c r="E30" s="187" t="s">
        <v>446</v>
      </c>
    </row>
    <row r="31" spans="1:7" ht="13.5" x14ac:dyDescent="0.2">
      <c r="A31" s="186"/>
      <c r="B31" s="185"/>
      <c r="C31" s="185"/>
      <c r="D31" s="185"/>
      <c r="E31" s="185"/>
    </row>
    <row r="32" spans="1:7" ht="13.5" x14ac:dyDescent="0.2">
      <c r="A32" s="248"/>
      <c r="B32" s="180" t="s">
        <v>466</v>
      </c>
      <c r="C32" s="183">
        <f>SUM(C33:C34)</f>
        <v>1385357204</v>
      </c>
      <c r="D32" s="183">
        <f>SUM(D33:D34)</f>
        <v>1931764795</v>
      </c>
      <c r="E32" s="183">
        <f>SUM(E33:E34)</f>
        <v>1917046846</v>
      </c>
    </row>
    <row r="33" spans="1:5" ht="13.5" x14ac:dyDescent="0.2">
      <c r="A33" s="248"/>
      <c r="B33" s="184" t="s">
        <v>465</v>
      </c>
      <c r="C33" s="183">
        <v>1311251797</v>
      </c>
      <c r="D33" s="183">
        <v>1923750154</v>
      </c>
      <c r="E33" s="183">
        <v>1909032205</v>
      </c>
    </row>
    <row r="34" spans="1:5" ht="13.5" x14ac:dyDescent="0.2">
      <c r="A34" s="248"/>
      <c r="B34" s="184" t="s">
        <v>464</v>
      </c>
      <c r="C34" s="183">
        <v>74105407</v>
      </c>
      <c r="D34" s="183">
        <v>8014641</v>
      </c>
      <c r="E34" s="183">
        <v>8014641</v>
      </c>
    </row>
    <row r="35" spans="1:5" ht="13.5" x14ac:dyDescent="0.2">
      <c r="A35" s="181"/>
      <c r="B35" s="180"/>
      <c r="C35" s="182"/>
      <c r="D35" s="182"/>
      <c r="E35" s="182"/>
    </row>
    <row r="36" spans="1:5" ht="13.5" x14ac:dyDescent="0.2">
      <c r="A36" s="181"/>
      <c r="B36" s="180" t="s">
        <v>463</v>
      </c>
      <c r="C36" s="179">
        <f>+C27+C32</f>
        <v>-1691970748</v>
      </c>
      <c r="D36" s="179">
        <f>+D27+D32</f>
        <v>-1239123867</v>
      </c>
      <c r="E36" s="179">
        <f>+E27+E32</f>
        <v>743852887</v>
      </c>
    </row>
    <row r="37" spans="1:5" ht="14.25" thickBot="1" x14ac:dyDescent="0.25">
      <c r="A37" s="178"/>
      <c r="B37" s="177"/>
      <c r="C37" s="177"/>
      <c r="D37" s="177"/>
      <c r="E37" s="177"/>
    </row>
    <row r="38" spans="1:5" ht="14.25" thickBot="1" x14ac:dyDescent="0.3">
      <c r="A38" s="149"/>
      <c r="B38" s="149"/>
      <c r="C38" s="149"/>
      <c r="D38" s="149"/>
      <c r="E38" s="149"/>
    </row>
    <row r="39" spans="1:5" ht="13.5" x14ac:dyDescent="0.2">
      <c r="A39" s="231" t="s">
        <v>449</v>
      </c>
      <c r="B39" s="232"/>
      <c r="C39" s="239" t="s">
        <v>448</v>
      </c>
      <c r="D39" s="239" t="s">
        <v>2</v>
      </c>
      <c r="E39" s="174" t="s">
        <v>447</v>
      </c>
    </row>
    <row r="40" spans="1:5" ht="14.25" thickBot="1" x14ac:dyDescent="0.25">
      <c r="A40" s="228"/>
      <c r="B40" s="233"/>
      <c r="C40" s="240"/>
      <c r="D40" s="240"/>
      <c r="E40" s="173" t="s">
        <v>446</v>
      </c>
    </row>
    <row r="41" spans="1:5" ht="13.5" x14ac:dyDescent="0.2">
      <c r="A41" s="159"/>
      <c r="B41" s="172"/>
      <c r="C41" s="172"/>
      <c r="D41" s="172"/>
      <c r="E41" s="172"/>
    </row>
    <row r="42" spans="1:5" ht="13.5" x14ac:dyDescent="0.2">
      <c r="A42" s="176"/>
      <c r="B42" s="175" t="s">
        <v>462</v>
      </c>
      <c r="C42" s="157">
        <f>SUM(C43:C44)</f>
        <v>4500000000</v>
      </c>
      <c r="D42" s="157">
        <f>SUM(D43:D44)</f>
        <v>6469562765</v>
      </c>
      <c r="E42" s="157">
        <f>SUM(E43:E44)</f>
        <v>6469562765</v>
      </c>
    </row>
    <row r="43" spans="1:5" ht="13.5" x14ac:dyDescent="0.2">
      <c r="A43" s="230"/>
      <c r="B43" s="162" t="s">
        <v>455</v>
      </c>
      <c r="C43" s="157">
        <v>4500000000</v>
      </c>
      <c r="D43" s="157">
        <v>6469562765</v>
      </c>
      <c r="E43" s="157">
        <v>6469562765</v>
      </c>
    </row>
    <row r="44" spans="1:5" ht="13.5" x14ac:dyDescent="0.2">
      <c r="A44" s="230"/>
      <c r="B44" s="162" t="s">
        <v>443</v>
      </c>
      <c r="C44" s="154">
        <v>0</v>
      </c>
      <c r="D44" s="154">
        <v>0</v>
      </c>
      <c r="E44" s="154">
        <v>0</v>
      </c>
    </row>
    <row r="45" spans="1:5" ht="13.5" x14ac:dyDescent="0.2">
      <c r="A45" s="227"/>
      <c r="B45" s="175" t="s">
        <v>461</v>
      </c>
      <c r="C45" s="154">
        <f>SUM(C46:C47)</f>
        <v>1422672048</v>
      </c>
      <c r="D45" s="154">
        <f>SUM(D46:D47)</f>
        <v>4832406441</v>
      </c>
      <c r="E45" s="154">
        <f>SUM(E46:E47)</f>
        <v>4832406441</v>
      </c>
    </row>
    <row r="46" spans="1:5" ht="13.5" x14ac:dyDescent="0.2">
      <c r="A46" s="227"/>
      <c r="B46" s="162" t="s">
        <v>454</v>
      </c>
      <c r="C46" s="157">
        <v>1342646952</v>
      </c>
      <c r="D46" s="157">
        <v>4341375390</v>
      </c>
      <c r="E46" s="157">
        <v>4341375390</v>
      </c>
    </row>
    <row r="47" spans="1:5" ht="13.5" x14ac:dyDescent="0.2">
      <c r="A47" s="227"/>
      <c r="B47" s="162" t="s">
        <v>442</v>
      </c>
      <c r="C47" s="157">
        <v>80025096</v>
      </c>
      <c r="D47" s="157">
        <v>491031051</v>
      </c>
      <c r="E47" s="157">
        <v>491031051</v>
      </c>
    </row>
    <row r="48" spans="1:5" ht="13.5" x14ac:dyDescent="0.2">
      <c r="A48" s="176"/>
      <c r="B48" s="175"/>
      <c r="C48" s="157"/>
      <c r="D48" s="157"/>
      <c r="E48" s="157"/>
    </row>
    <row r="49" spans="1:6" x14ac:dyDescent="0.2">
      <c r="A49" s="227"/>
      <c r="B49" s="243" t="s">
        <v>460</v>
      </c>
      <c r="C49" s="241">
        <f>+C42-C45</f>
        <v>3077327952</v>
      </c>
      <c r="D49" s="241">
        <f>+D42-D45</f>
        <v>1637156324</v>
      </c>
      <c r="E49" s="241">
        <f>+E42-E45</f>
        <v>1637156324</v>
      </c>
    </row>
    <row r="50" spans="1:6" ht="13.5" thickBot="1" x14ac:dyDescent="0.25">
      <c r="A50" s="228"/>
      <c r="B50" s="233"/>
      <c r="C50" s="242"/>
      <c r="D50" s="242"/>
      <c r="E50" s="242"/>
    </row>
    <row r="51" spans="1:6" ht="14.25" thickBot="1" x14ac:dyDescent="0.3">
      <c r="A51" s="149"/>
      <c r="B51" s="149"/>
      <c r="C51" s="149"/>
      <c r="D51" s="149"/>
      <c r="E51" s="149"/>
    </row>
    <row r="52" spans="1:6" ht="13.5" x14ac:dyDescent="0.2">
      <c r="A52" s="231" t="s">
        <v>449</v>
      </c>
      <c r="B52" s="232"/>
      <c r="C52" s="174" t="s">
        <v>459</v>
      </c>
      <c r="D52" s="239" t="s">
        <v>2</v>
      </c>
      <c r="E52" s="174" t="s">
        <v>447</v>
      </c>
    </row>
    <row r="53" spans="1:6" ht="14.25" thickBot="1" x14ac:dyDescent="0.25">
      <c r="A53" s="228"/>
      <c r="B53" s="233"/>
      <c r="C53" s="173" t="s">
        <v>458</v>
      </c>
      <c r="D53" s="240"/>
      <c r="E53" s="173" t="s">
        <v>446</v>
      </c>
    </row>
    <row r="54" spans="1:6" ht="13.5" x14ac:dyDescent="0.2">
      <c r="A54" s="236"/>
      <c r="B54" s="237"/>
      <c r="C54" s="172"/>
      <c r="D54" s="172"/>
      <c r="E54" s="172"/>
    </row>
    <row r="55" spans="1:6" ht="16.5" x14ac:dyDescent="0.2">
      <c r="A55" s="230"/>
      <c r="B55" s="238" t="s">
        <v>457</v>
      </c>
      <c r="C55" s="154">
        <v>31863449021</v>
      </c>
      <c r="D55" s="154">
        <v>34219213557</v>
      </c>
      <c r="E55" s="154">
        <v>34219213557</v>
      </c>
      <c r="F55" s="165"/>
    </row>
    <row r="56" spans="1:6" ht="16.5" x14ac:dyDescent="0.2">
      <c r="A56" s="230"/>
      <c r="B56" s="238"/>
      <c r="C56" s="154"/>
      <c r="D56" s="154"/>
      <c r="E56" s="154"/>
      <c r="F56" s="165"/>
    </row>
    <row r="57" spans="1:6" ht="13.5" x14ac:dyDescent="0.2">
      <c r="A57" s="230"/>
      <c r="B57" s="171" t="s">
        <v>456</v>
      </c>
      <c r="C57" s="154">
        <f>+C58-C59</f>
        <v>3157353048</v>
      </c>
      <c r="D57" s="154">
        <f>+D58-D59</f>
        <v>2128187375</v>
      </c>
      <c r="E57" s="154">
        <f>+E58-E59</f>
        <v>2128187375</v>
      </c>
    </row>
    <row r="58" spans="1:6" ht="13.5" x14ac:dyDescent="0.2">
      <c r="A58" s="230"/>
      <c r="B58" s="162" t="s">
        <v>455</v>
      </c>
      <c r="C58" s="154">
        <v>4500000000</v>
      </c>
      <c r="D58" s="154">
        <v>6469562765</v>
      </c>
      <c r="E58" s="154">
        <v>6469562765</v>
      </c>
    </row>
    <row r="59" spans="1:6" ht="13.5" x14ac:dyDescent="0.2">
      <c r="A59" s="230"/>
      <c r="B59" s="162" t="s">
        <v>454</v>
      </c>
      <c r="C59" s="154">
        <v>1342646952</v>
      </c>
      <c r="D59" s="154">
        <v>4341375390</v>
      </c>
      <c r="E59" s="154">
        <v>4341375390</v>
      </c>
    </row>
    <row r="60" spans="1:6" ht="13.5" x14ac:dyDescent="0.2">
      <c r="A60" s="230"/>
      <c r="B60" s="158"/>
      <c r="C60" s="154"/>
      <c r="D60" s="154"/>
      <c r="E60" s="154"/>
    </row>
    <row r="61" spans="1:6" ht="13.5" x14ac:dyDescent="0.2">
      <c r="A61" s="159"/>
      <c r="B61" s="158" t="s">
        <v>453</v>
      </c>
      <c r="C61" s="160">
        <v>35022767917</v>
      </c>
      <c r="D61" s="160">
        <v>37636657123</v>
      </c>
      <c r="E61" s="160">
        <v>35787659441</v>
      </c>
    </row>
    <row r="62" spans="1:6" ht="13.5" x14ac:dyDescent="0.2">
      <c r="A62" s="159"/>
      <c r="B62" s="158"/>
      <c r="C62" s="157"/>
      <c r="D62" s="157"/>
      <c r="E62" s="157"/>
    </row>
    <row r="63" spans="1:6" ht="13.5" x14ac:dyDescent="0.2">
      <c r="A63" s="159"/>
      <c r="B63" s="158" t="s">
        <v>452</v>
      </c>
      <c r="C63" s="170">
        <v>0</v>
      </c>
      <c r="D63" s="170">
        <v>0</v>
      </c>
      <c r="E63" s="170">
        <v>0</v>
      </c>
    </row>
    <row r="64" spans="1:6" ht="13.5" x14ac:dyDescent="0.2">
      <c r="A64" s="159"/>
      <c r="B64" s="158"/>
      <c r="C64" s="157"/>
      <c r="D64" s="157"/>
      <c r="E64" s="157"/>
    </row>
    <row r="65" spans="1:6" ht="13.5" x14ac:dyDescent="0.2">
      <c r="A65" s="227"/>
      <c r="B65" s="155" t="s">
        <v>451</v>
      </c>
      <c r="C65" s="156">
        <f>+C55+C57-C61+C63</f>
        <v>-1965848</v>
      </c>
      <c r="D65" s="156">
        <f>+D55+D57-D61+D63</f>
        <v>-1289256191</v>
      </c>
      <c r="E65" s="156">
        <f>+E55+E57-E61+E63</f>
        <v>559741491</v>
      </c>
    </row>
    <row r="66" spans="1:6" ht="13.5" x14ac:dyDescent="0.2">
      <c r="A66" s="227"/>
      <c r="B66" s="155"/>
      <c r="C66" s="156"/>
      <c r="D66" s="156"/>
      <c r="E66" s="156"/>
    </row>
    <row r="67" spans="1:6" ht="13.5" x14ac:dyDescent="0.2">
      <c r="A67" s="227"/>
      <c r="B67" s="155" t="s">
        <v>450</v>
      </c>
      <c r="C67" s="156">
        <f>+C65-C57</f>
        <v>-3159318896</v>
      </c>
      <c r="D67" s="156">
        <f>+D65-D57</f>
        <v>-3417443566</v>
      </c>
      <c r="E67" s="156">
        <f>+E65-E57</f>
        <v>-1568445884</v>
      </c>
    </row>
    <row r="68" spans="1:6" ht="14.25" thickBot="1" x14ac:dyDescent="0.25">
      <c r="A68" s="228"/>
      <c r="B68" s="153"/>
      <c r="C68" s="169"/>
      <c r="D68" s="169"/>
      <c r="E68" s="169"/>
    </row>
    <row r="69" spans="1:6" ht="14.25" thickBot="1" x14ac:dyDescent="0.3">
      <c r="A69" s="149"/>
      <c r="B69" s="149"/>
      <c r="C69" s="168"/>
      <c r="D69" s="168"/>
      <c r="E69" s="168"/>
    </row>
    <row r="70" spans="1:6" ht="13.5" x14ac:dyDescent="0.2">
      <c r="A70" s="231" t="s">
        <v>449</v>
      </c>
      <c r="B70" s="232"/>
      <c r="C70" s="234" t="s">
        <v>448</v>
      </c>
      <c r="D70" s="234" t="s">
        <v>2</v>
      </c>
      <c r="E70" s="167" t="s">
        <v>447</v>
      </c>
    </row>
    <row r="71" spans="1:6" ht="14.25" thickBot="1" x14ac:dyDescent="0.25">
      <c r="A71" s="228"/>
      <c r="B71" s="233"/>
      <c r="C71" s="235"/>
      <c r="D71" s="235"/>
      <c r="E71" s="166" t="s">
        <v>446</v>
      </c>
    </row>
    <row r="72" spans="1:6" ht="13.5" x14ac:dyDescent="0.2">
      <c r="A72" s="236"/>
      <c r="B72" s="237"/>
      <c r="C72" s="157"/>
      <c r="D72" s="157"/>
      <c r="E72" s="157"/>
    </row>
    <row r="73" spans="1:6" ht="16.5" x14ac:dyDescent="0.2">
      <c r="A73" s="230"/>
      <c r="B73" s="238" t="s">
        <v>445</v>
      </c>
      <c r="C73" s="161">
        <v>20088430923</v>
      </c>
      <c r="D73" s="161">
        <v>24075903974</v>
      </c>
      <c r="E73" s="161">
        <v>24075903974</v>
      </c>
      <c r="F73" s="165"/>
    </row>
    <row r="74" spans="1:6" ht="16.5" x14ac:dyDescent="0.2">
      <c r="A74" s="230"/>
      <c r="B74" s="238"/>
      <c r="C74" s="161"/>
      <c r="D74" s="161"/>
      <c r="E74" s="161"/>
      <c r="F74" s="165"/>
    </row>
    <row r="75" spans="1:6" ht="13.5" x14ac:dyDescent="0.2">
      <c r="A75" s="230"/>
      <c r="B75" s="158" t="s">
        <v>444</v>
      </c>
      <c r="C75" s="154">
        <f>+C76-C77</f>
        <v>-80025096</v>
      </c>
      <c r="D75" s="154">
        <f>+D76-D77</f>
        <v>-491031051</v>
      </c>
      <c r="E75" s="154">
        <f>+E76-E77</f>
        <v>-491031051</v>
      </c>
    </row>
    <row r="76" spans="1:6" ht="13.5" x14ac:dyDescent="0.2">
      <c r="A76" s="230"/>
      <c r="B76" s="162" t="s">
        <v>443</v>
      </c>
      <c r="C76" s="164">
        <v>0</v>
      </c>
      <c r="D76" s="163">
        <v>0</v>
      </c>
      <c r="E76" s="163">
        <v>0</v>
      </c>
    </row>
    <row r="77" spans="1:6" ht="13.5" x14ac:dyDescent="0.2">
      <c r="A77" s="230"/>
      <c r="B77" s="162" t="s">
        <v>442</v>
      </c>
      <c r="C77" s="161">
        <v>80025096</v>
      </c>
      <c r="D77" s="160">
        <v>491031051</v>
      </c>
      <c r="E77" s="160">
        <v>491031051</v>
      </c>
    </row>
    <row r="78" spans="1:6" ht="13.5" x14ac:dyDescent="0.2">
      <c r="A78" s="230"/>
      <c r="B78" s="158"/>
      <c r="C78" s="154">
        <v>0</v>
      </c>
      <c r="D78" s="154">
        <v>0</v>
      </c>
      <c r="E78" s="154">
        <v>0</v>
      </c>
    </row>
    <row r="79" spans="1:6" ht="13.5" x14ac:dyDescent="0.2">
      <c r="A79" s="159"/>
      <c r="B79" s="158" t="s">
        <v>441</v>
      </c>
      <c r="C79" s="161">
        <v>20006439979</v>
      </c>
      <c r="D79" s="160">
        <v>23829349069</v>
      </c>
      <c r="E79" s="160">
        <v>23680652049</v>
      </c>
    </row>
    <row r="80" spans="1:6" ht="13.5" x14ac:dyDescent="0.2">
      <c r="A80" s="159"/>
      <c r="B80" s="158"/>
      <c r="C80" s="154"/>
      <c r="D80" s="154"/>
      <c r="E80" s="154"/>
    </row>
    <row r="81" spans="1:5" ht="13.5" x14ac:dyDescent="0.2">
      <c r="A81" s="159"/>
      <c r="B81" s="158" t="s">
        <v>440</v>
      </c>
      <c r="C81" s="154">
        <v>0</v>
      </c>
      <c r="D81" s="154">
        <v>0</v>
      </c>
      <c r="E81" s="154">
        <v>0</v>
      </c>
    </row>
    <row r="82" spans="1:5" ht="13.5" x14ac:dyDescent="0.2">
      <c r="A82" s="159"/>
      <c r="B82" s="158"/>
      <c r="C82" s="157"/>
      <c r="D82" s="157"/>
      <c r="E82" s="157"/>
    </row>
    <row r="83" spans="1:5" ht="13.5" x14ac:dyDescent="0.2">
      <c r="A83" s="227"/>
      <c r="B83" s="155" t="s">
        <v>439</v>
      </c>
      <c r="C83" s="154">
        <f>+C73+C75-C79+C81</f>
        <v>1965848</v>
      </c>
      <c r="D83" s="154">
        <f>+D73+D75-D79+D81</f>
        <v>-244476146</v>
      </c>
      <c r="E83" s="154">
        <f>+E73+E75-E79+E81</f>
        <v>-95779126</v>
      </c>
    </row>
    <row r="84" spans="1:5" ht="13.5" x14ac:dyDescent="0.2">
      <c r="A84" s="227"/>
      <c r="B84" s="155"/>
      <c r="C84" s="156"/>
      <c r="D84" s="156"/>
      <c r="E84" s="156"/>
    </row>
    <row r="85" spans="1:5" ht="13.5" x14ac:dyDescent="0.2">
      <c r="A85" s="227"/>
      <c r="B85" s="155" t="s">
        <v>438</v>
      </c>
      <c r="C85" s="154">
        <f>+C83-C75</f>
        <v>81990944</v>
      </c>
      <c r="D85" s="154">
        <f>+D83-D75</f>
        <v>246554905</v>
      </c>
      <c r="E85" s="154">
        <f>+E83-E75</f>
        <v>395251925</v>
      </c>
    </row>
    <row r="86" spans="1:5" ht="14.25" thickBot="1" x14ac:dyDescent="0.25">
      <c r="A86" s="228"/>
      <c r="B86" s="153"/>
      <c r="C86" s="152"/>
      <c r="D86" s="152"/>
      <c r="E86" s="152"/>
    </row>
    <row r="87" spans="1:5" ht="13.5" x14ac:dyDescent="0.25">
      <c r="A87" s="149"/>
      <c r="B87" s="149"/>
      <c r="C87" s="149"/>
      <c r="D87" s="149"/>
      <c r="E87" s="149"/>
    </row>
    <row r="88" spans="1:5" ht="13.5" x14ac:dyDescent="0.25">
      <c r="A88" s="149"/>
      <c r="B88" s="149"/>
      <c r="C88" s="149"/>
      <c r="D88" s="149"/>
      <c r="E88" s="149"/>
    </row>
    <row r="89" spans="1:5" ht="13.5" x14ac:dyDescent="0.25">
      <c r="A89" s="149"/>
      <c r="B89" s="149"/>
      <c r="C89" s="149"/>
      <c r="D89" s="149"/>
      <c r="E89" s="149"/>
    </row>
    <row r="90" spans="1:5" s="150" customFormat="1" x14ac:dyDescent="0.2">
      <c r="B90" s="151"/>
      <c r="E90" s="151"/>
    </row>
    <row r="91" spans="1:5" s="150" customFormat="1" ht="16.5" x14ac:dyDescent="0.3">
      <c r="A91" s="229" t="s">
        <v>437</v>
      </c>
      <c r="B91" s="229"/>
      <c r="C91" s="229"/>
      <c r="D91" s="229"/>
      <c r="E91" s="229"/>
    </row>
    <row r="92" spans="1:5" s="150" customFormat="1" ht="16.5" x14ac:dyDescent="0.3">
      <c r="A92" s="229" t="s">
        <v>436</v>
      </c>
      <c r="B92" s="229"/>
      <c r="C92" s="229"/>
      <c r="D92" s="229"/>
      <c r="E92" s="229"/>
    </row>
    <row r="93" spans="1:5" ht="13.5" x14ac:dyDescent="0.25">
      <c r="A93" s="149"/>
      <c r="B93" s="149"/>
      <c r="C93" s="149"/>
      <c r="D93" s="149"/>
      <c r="E93" s="149"/>
    </row>
    <row r="94" spans="1:5" ht="13.5" x14ac:dyDescent="0.25">
      <c r="A94" s="149"/>
      <c r="B94" s="149"/>
      <c r="C94" s="149"/>
      <c r="D94" s="149"/>
      <c r="E94" s="149"/>
    </row>
    <row r="95" spans="1:5" ht="13.5" x14ac:dyDescent="0.25">
      <c r="A95" s="149"/>
      <c r="B95" s="149"/>
      <c r="C95" s="149"/>
      <c r="D95" s="149"/>
      <c r="E95" s="149"/>
    </row>
    <row r="96" spans="1:5" ht="13.5" x14ac:dyDescent="0.25">
      <c r="A96" s="149"/>
      <c r="B96" s="149"/>
      <c r="C96" s="149"/>
      <c r="D96" s="149"/>
      <c r="E96" s="149"/>
    </row>
    <row r="97" spans="1:5" ht="13.5" x14ac:dyDescent="0.25">
      <c r="A97" s="149"/>
      <c r="B97" s="149"/>
      <c r="C97" s="149"/>
      <c r="D97" s="149"/>
      <c r="E97" s="149"/>
    </row>
    <row r="98" spans="1:5" ht="13.5" x14ac:dyDescent="0.25">
      <c r="A98" s="149"/>
      <c r="B98" s="149"/>
      <c r="C98" s="149"/>
      <c r="D98" s="149"/>
      <c r="E98" s="149"/>
    </row>
    <row r="99" spans="1:5" ht="13.5" x14ac:dyDescent="0.25">
      <c r="A99" s="149"/>
      <c r="B99" s="149"/>
      <c r="C99" s="149"/>
      <c r="D99" s="149"/>
      <c r="E99" s="149"/>
    </row>
    <row r="100" spans="1:5" ht="13.5" x14ac:dyDescent="0.25">
      <c r="A100" s="149"/>
      <c r="B100" s="149"/>
      <c r="C100" s="149"/>
      <c r="D100" s="149"/>
      <c r="E100" s="149"/>
    </row>
    <row r="101" spans="1:5" ht="13.5" x14ac:dyDescent="0.25">
      <c r="A101" s="149"/>
      <c r="B101" s="149"/>
      <c r="C101" s="149"/>
      <c r="D101" s="149"/>
      <c r="E101" s="149"/>
    </row>
    <row r="102" spans="1:5" ht="13.5" x14ac:dyDescent="0.25">
      <c r="A102" s="149"/>
      <c r="B102" s="149"/>
      <c r="C102" s="149"/>
      <c r="D102" s="149"/>
      <c r="E102" s="149"/>
    </row>
    <row r="103" spans="1:5" ht="13.5" x14ac:dyDescent="0.25">
      <c r="A103" s="149"/>
      <c r="B103" s="149"/>
      <c r="C103" s="149"/>
      <c r="D103" s="149"/>
      <c r="E103" s="149"/>
    </row>
    <row r="104" spans="1:5" ht="13.5" x14ac:dyDescent="0.25">
      <c r="A104" s="149"/>
      <c r="B104" s="149"/>
      <c r="C104" s="149"/>
      <c r="D104" s="149"/>
      <c r="E104" s="149"/>
    </row>
    <row r="105" spans="1:5" ht="13.5" x14ac:dyDescent="0.25">
      <c r="A105" s="149"/>
      <c r="B105" s="149"/>
      <c r="C105" s="149"/>
      <c r="D105" s="149"/>
      <c r="E105" s="149"/>
    </row>
    <row r="106" spans="1:5" ht="13.5" x14ac:dyDescent="0.25">
      <c r="A106" s="149"/>
      <c r="B106" s="149"/>
      <c r="C106" s="149"/>
      <c r="D106" s="149"/>
      <c r="E106" s="149"/>
    </row>
    <row r="107" spans="1:5" ht="13.5" x14ac:dyDescent="0.25">
      <c r="A107" s="149"/>
      <c r="B107" s="149"/>
      <c r="C107" s="149"/>
      <c r="D107" s="149"/>
      <c r="E107" s="149"/>
    </row>
    <row r="108" spans="1:5" ht="13.5" x14ac:dyDescent="0.25">
      <c r="A108" s="149"/>
      <c r="B108" s="149"/>
      <c r="C108" s="149"/>
      <c r="D108" s="149"/>
      <c r="E108" s="149"/>
    </row>
    <row r="109" spans="1:5" ht="13.5" x14ac:dyDescent="0.25">
      <c r="A109" s="149"/>
      <c r="B109" s="149"/>
      <c r="C109" s="149"/>
      <c r="D109" s="149"/>
      <c r="E109" s="149"/>
    </row>
    <row r="110" spans="1:5" ht="13.5" x14ac:dyDescent="0.25">
      <c r="A110" s="149"/>
      <c r="B110" s="149"/>
      <c r="C110" s="149"/>
      <c r="D110" s="149"/>
      <c r="E110" s="149"/>
    </row>
    <row r="111" spans="1:5" ht="13.5" x14ac:dyDescent="0.25">
      <c r="A111" s="149"/>
      <c r="B111" s="149"/>
      <c r="C111" s="149"/>
      <c r="D111" s="149"/>
      <c r="E111" s="149"/>
    </row>
    <row r="112" spans="1:5" ht="13.5" x14ac:dyDescent="0.25">
      <c r="A112" s="149"/>
      <c r="B112" s="149"/>
      <c r="C112" s="149"/>
      <c r="D112" s="149"/>
      <c r="E112" s="149"/>
    </row>
    <row r="113" spans="1:5" ht="13.5" x14ac:dyDescent="0.25">
      <c r="A113" s="149"/>
      <c r="B113" s="149"/>
      <c r="C113" s="149"/>
      <c r="D113" s="149"/>
      <c r="E113" s="149"/>
    </row>
    <row r="114" spans="1:5" ht="13.5" x14ac:dyDescent="0.25">
      <c r="A114" s="149"/>
      <c r="B114" s="149"/>
      <c r="C114" s="149"/>
      <c r="D114" s="149"/>
      <c r="E114" s="149"/>
    </row>
    <row r="115" spans="1:5" ht="13.5" x14ac:dyDescent="0.25">
      <c r="A115" s="149"/>
      <c r="B115" s="149"/>
      <c r="C115" s="149"/>
      <c r="D115" s="149"/>
      <c r="E115" s="149"/>
    </row>
    <row r="116" spans="1:5" ht="13.5" x14ac:dyDescent="0.25">
      <c r="A116" s="149"/>
      <c r="B116" s="149"/>
      <c r="C116" s="149"/>
      <c r="D116" s="149"/>
      <c r="E116" s="149"/>
    </row>
    <row r="117" spans="1:5" ht="13.5" x14ac:dyDescent="0.25">
      <c r="A117" s="149"/>
      <c r="B117" s="149"/>
      <c r="C117" s="149"/>
      <c r="D117" s="149"/>
      <c r="E117" s="149"/>
    </row>
    <row r="118" spans="1:5" ht="13.5" x14ac:dyDescent="0.25">
      <c r="A118" s="149"/>
      <c r="B118" s="149"/>
      <c r="C118" s="149"/>
      <c r="D118" s="149"/>
      <c r="E118" s="149"/>
    </row>
    <row r="119" spans="1:5" ht="13.5" x14ac:dyDescent="0.25">
      <c r="A119" s="149"/>
      <c r="B119" s="149"/>
      <c r="C119" s="149"/>
      <c r="D119" s="149"/>
      <c r="E119" s="149"/>
    </row>
    <row r="120" spans="1:5" ht="13.5" x14ac:dyDescent="0.25">
      <c r="A120" s="149"/>
      <c r="B120" s="149"/>
      <c r="C120" s="149"/>
      <c r="D120" s="149"/>
      <c r="E120" s="149"/>
    </row>
    <row r="121" spans="1:5" ht="13.5" x14ac:dyDescent="0.25">
      <c r="A121" s="149"/>
      <c r="B121" s="149"/>
      <c r="C121" s="149"/>
      <c r="D121" s="149"/>
      <c r="E121" s="149"/>
    </row>
    <row r="122" spans="1:5" ht="13.5" x14ac:dyDescent="0.25">
      <c r="A122" s="149"/>
      <c r="B122" s="149"/>
      <c r="C122" s="149"/>
      <c r="D122" s="149"/>
      <c r="E122" s="149"/>
    </row>
    <row r="123" spans="1:5" ht="13.5" x14ac:dyDescent="0.25">
      <c r="A123" s="149"/>
      <c r="B123" s="149"/>
      <c r="C123" s="149"/>
      <c r="D123" s="149"/>
      <c r="E123" s="149"/>
    </row>
    <row r="124" spans="1:5" ht="13.5" x14ac:dyDescent="0.25">
      <c r="A124" s="149"/>
      <c r="B124" s="149"/>
      <c r="C124" s="149"/>
      <c r="D124" s="149"/>
      <c r="E124" s="149"/>
    </row>
    <row r="125" spans="1:5" ht="13.5" x14ac:dyDescent="0.25">
      <c r="A125" s="149"/>
      <c r="B125" s="149"/>
      <c r="C125" s="149"/>
      <c r="D125" s="149"/>
      <c r="E125" s="149"/>
    </row>
    <row r="126" spans="1:5" ht="13.5" x14ac:dyDescent="0.25">
      <c r="A126" s="149"/>
      <c r="B126" s="149"/>
      <c r="C126" s="149"/>
      <c r="D126" s="149"/>
      <c r="E126" s="149"/>
    </row>
    <row r="127" spans="1:5" ht="13.5" x14ac:dyDescent="0.25">
      <c r="A127" s="149"/>
      <c r="B127" s="149"/>
      <c r="C127" s="149"/>
      <c r="D127" s="149"/>
      <c r="E127" s="149"/>
    </row>
    <row r="128" spans="1:5" ht="13.5" x14ac:dyDescent="0.25">
      <c r="A128" s="149"/>
      <c r="B128" s="149"/>
      <c r="C128" s="149"/>
      <c r="D128" s="149"/>
      <c r="E128" s="149"/>
    </row>
    <row r="129" spans="1:5" ht="13.5" x14ac:dyDescent="0.25">
      <c r="A129" s="149"/>
      <c r="B129" s="149"/>
      <c r="C129" s="149"/>
      <c r="D129" s="149"/>
      <c r="E129" s="149"/>
    </row>
    <row r="130" spans="1:5" ht="13.5" x14ac:dyDescent="0.25">
      <c r="A130" s="149"/>
      <c r="B130" s="149"/>
      <c r="C130" s="149"/>
      <c r="D130" s="149"/>
      <c r="E130" s="149"/>
    </row>
    <row r="131" spans="1:5" ht="13.5" x14ac:dyDescent="0.25">
      <c r="A131" s="149"/>
      <c r="B131" s="149"/>
      <c r="C131" s="149"/>
      <c r="D131" s="149"/>
      <c r="E131" s="149"/>
    </row>
    <row r="132" spans="1:5" ht="13.5" x14ac:dyDescent="0.25">
      <c r="A132" s="149"/>
      <c r="B132" s="149"/>
      <c r="C132" s="149"/>
      <c r="D132" s="149"/>
      <c r="E132" s="149"/>
    </row>
    <row r="133" spans="1:5" ht="13.5" x14ac:dyDescent="0.25">
      <c r="A133" s="149"/>
      <c r="B133" s="149"/>
      <c r="C133" s="149"/>
      <c r="D133" s="149"/>
      <c r="E133" s="149"/>
    </row>
    <row r="134" spans="1:5" ht="13.5" x14ac:dyDescent="0.25">
      <c r="A134" s="149"/>
      <c r="B134" s="149"/>
      <c r="C134" s="149"/>
      <c r="D134" s="149"/>
      <c r="E134" s="149"/>
    </row>
    <row r="135" spans="1:5" ht="13.5" x14ac:dyDescent="0.25">
      <c r="A135" s="149"/>
      <c r="B135" s="149"/>
      <c r="C135" s="149"/>
      <c r="D135" s="149"/>
      <c r="E135" s="149"/>
    </row>
    <row r="136" spans="1:5" ht="13.5" x14ac:dyDescent="0.25">
      <c r="A136" s="149"/>
      <c r="B136" s="149"/>
      <c r="C136" s="149"/>
      <c r="D136" s="149"/>
      <c r="E136" s="149"/>
    </row>
    <row r="137" spans="1:5" ht="13.5" x14ac:dyDescent="0.25">
      <c r="A137" s="149"/>
      <c r="B137" s="149"/>
      <c r="C137" s="149"/>
      <c r="D137" s="149"/>
      <c r="E137" s="149"/>
    </row>
    <row r="138" spans="1:5" ht="13.5" x14ac:dyDescent="0.25">
      <c r="A138" s="149"/>
      <c r="B138" s="149"/>
      <c r="C138" s="149"/>
      <c r="D138" s="149"/>
      <c r="E138" s="149"/>
    </row>
    <row r="139" spans="1:5" ht="13.5" x14ac:dyDescent="0.25">
      <c r="A139" s="149"/>
      <c r="B139" s="149"/>
      <c r="C139" s="149"/>
      <c r="D139" s="149"/>
      <c r="E139" s="149"/>
    </row>
    <row r="140" spans="1:5" ht="13.5" x14ac:dyDescent="0.25">
      <c r="A140" s="149"/>
      <c r="B140" s="149"/>
      <c r="C140" s="149"/>
      <c r="D140" s="149"/>
      <c r="E140" s="149"/>
    </row>
    <row r="141" spans="1:5" ht="13.5" x14ac:dyDescent="0.25">
      <c r="A141" s="149"/>
      <c r="B141" s="149"/>
      <c r="C141" s="149"/>
      <c r="D141" s="149"/>
      <c r="E141" s="149"/>
    </row>
    <row r="142" spans="1:5" ht="13.5" x14ac:dyDescent="0.25">
      <c r="A142" s="149"/>
      <c r="B142" s="149"/>
      <c r="C142" s="149"/>
      <c r="D142" s="149"/>
      <c r="E142" s="149"/>
    </row>
    <row r="143" spans="1:5" ht="13.5" x14ac:dyDescent="0.25">
      <c r="A143" s="149"/>
      <c r="B143" s="149"/>
      <c r="C143" s="149"/>
      <c r="D143" s="149"/>
      <c r="E143" s="149"/>
    </row>
    <row r="144" spans="1:5" ht="13.5" x14ac:dyDescent="0.25">
      <c r="A144" s="149"/>
      <c r="B144" s="149"/>
      <c r="C144" s="149"/>
      <c r="D144" s="149"/>
      <c r="E144" s="149"/>
    </row>
    <row r="145" spans="1:5" ht="13.5" x14ac:dyDescent="0.25">
      <c r="A145" s="149"/>
      <c r="B145" s="149"/>
      <c r="C145" s="149"/>
      <c r="D145" s="149"/>
      <c r="E145" s="149"/>
    </row>
    <row r="146" spans="1:5" ht="13.5" x14ac:dyDescent="0.25">
      <c r="A146" s="149"/>
      <c r="B146" s="149"/>
      <c r="C146" s="149"/>
      <c r="D146" s="149"/>
      <c r="E146" s="149"/>
    </row>
    <row r="147" spans="1:5" ht="13.5" x14ac:dyDescent="0.25">
      <c r="A147" s="149"/>
      <c r="B147" s="149"/>
      <c r="C147" s="149"/>
      <c r="D147" s="149"/>
      <c r="E147" s="149"/>
    </row>
    <row r="148" spans="1:5" ht="13.5" x14ac:dyDescent="0.25">
      <c r="A148" s="149"/>
      <c r="B148" s="149"/>
      <c r="C148" s="149"/>
      <c r="D148" s="149"/>
      <c r="E148" s="149"/>
    </row>
    <row r="149" spans="1:5" ht="13.5" x14ac:dyDescent="0.25">
      <c r="A149" s="149"/>
      <c r="B149" s="149"/>
      <c r="C149" s="149"/>
      <c r="D149" s="149"/>
      <c r="E149" s="149"/>
    </row>
    <row r="150" spans="1:5" ht="13.5" x14ac:dyDescent="0.25">
      <c r="A150" s="149"/>
      <c r="B150" s="149"/>
      <c r="C150" s="149"/>
      <c r="D150" s="149"/>
      <c r="E150" s="149"/>
    </row>
    <row r="151" spans="1:5" ht="13.5" x14ac:dyDescent="0.25">
      <c r="A151" s="149"/>
      <c r="B151" s="149"/>
      <c r="C151" s="149"/>
      <c r="D151" s="149"/>
      <c r="E151" s="149"/>
    </row>
    <row r="152" spans="1:5" ht="13.5" x14ac:dyDescent="0.25">
      <c r="A152" s="149"/>
      <c r="B152" s="149"/>
      <c r="C152" s="149"/>
      <c r="D152" s="149"/>
      <c r="E152" s="149"/>
    </row>
    <row r="153" spans="1:5" ht="13.5" x14ac:dyDescent="0.25">
      <c r="A153" s="149"/>
      <c r="B153" s="149"/>
      <c r="C153" s="149"/>
      <c r="D153" s="149"/>
      <c r="E153" s="149"/>
    </row>
    <row r="154" spans="1:5" ht="13.5" x14ac:dyDescent="0.25">
      <c r="A154" s="149"/>
      <c r="B154" s="149"/>
      <c r="C154" s="149"/>
      <c r="D154" s="149"/>
      <c r="E154" s="149"/>
    </row>
    <row r="155" spans="1:5" ht="13.5" x14ac:dyDescent="0.25">
      <c r="A155" s="149"/>
      <c r="B155" s="149"/>
      <c r="C155" s="149"/>
      <c r="D155" s="149"/>
      <c r="E155" s="149"/>
    </row>
    <row r="156" spans="1:5" ht="13.5" x14ac:dyDescent="0.25">
      <c r="A156" s="149"/>
      <c r="B156" s="149"/>
      <c r="C156" s="149"/>
      <c r="D156" s="149"/>
      <c r="E156" s="149"/>
    </row>
    <row r="157" spans="1:5" ht="13.5" x14ac:dyDescent="0.25">
      <c r="A157" s="149"/>
      <c r="B157" s="149"/>
      <c r="C157" s="149"/>
      <c r="D157" s="149"/>
      <c r="E157" s="149"/>
    </row>
    <row r="158" spans="1:5" ht="13.5" x14ac:dyDescent="0.25">
      <c r="A158" s="149"/>
      <c r="B158" s="149"/>
      <c r="C158" s="149"/>
      <c r="D158" s="149"/>
      <c r="E158" s="149"/>
    </row>
    <row r="159" spans="1:5" ht="13.5" x14ac:dyDescent="0.25">
      <c r="A159" s="149"/>
      <c r="B159" s="149"/>
      <c r="C159" s="149"/>
      <c r="D159" s="149"/>
      <c r="E159" s="149"/>
    </row>
    <row r="160" spans="1:5" ht="13.5" x14ac:dyDescent="0.25">
      <c r="A160" s="149"/>
      <c r="B160" s="149"/>
      <c r="C160" s="149"/>
      <c r="D160" s="149"/>
      <c r="E160" s="149"/>
    </row>
    <row r="161" spans="1:5" ht="13.5" x14ac:dyDescent="0.25">
      <c r="A161" s="149"/>
      <c r="B161" s="149"/>
      <c r="C161" s="149"/>
      <c r="D161" s="149"/>
      <c r="E161" s="149"/>
    </row>
    <row r="162" spans="1:5" ht="13.5" x14ac:dyDescent="0.25">
      <c r="A162" s="149"/>
      <c r="B162" s="149"/>
      <c r="C162" s="149"/>
      <c r="D162" s="149"/>
      <c r="E162" s="149"/>
    </row>
    <row r="163" spans="1:5" ht="13.5" x14ac:dyDescent="0.25">
      <c r="A163" s="149"/>
      <c r="B163" s="149"/>
      <c r="C163" s="149"/>
      <c r="D163" s="149"/>
      <c r="E163" s="149"/>
    </row>
    <row r="164" spans="1:5" ht="13.5" x14ac:dyDescent="0.25">
      <c r="A164" s="149"/>
      <c r="B164" s="149"/>
      <c r="C164" s="149"/>
      <c r="D164" s="149"/>
      <c r="E164" s="149"/>
    </row>
    <row r="165" spans="1:5" ht="13.5" x14ac:dyDescent="0.25">
      <c r="A165" s="149"/>
      <c r="B165" s="149"/>
      <c r="C165" s="149"/>
      <c r="D165" s="149"/>
      <c r="E165" s="149"/>
    </row>
    <row r="166" spans="1:5" ht="13.5" x14ac:dyDescent="0.25">
      <c r="A166" s="149"/>
      <c r="B166" s="149"/>
      <c r="C166" s="149"/>
      <c r="D166" s="149"/>
      <c r="E166" s="149"/>
    </row>
    <row r="167" spans="1:5" ht="13.5" x14ac:dyDescent="0.25">
      <c r="A167" s="149"/>
      <c r="B167" s="149"/>
      <c r="C167" s="149"/>
      <c r="D167" s="149"/>
      <c r="E167" s="149"/>
    </row>
    <row r="168" spans="1:5" ht="13.5" x14ac:dyDescent="0.25">
      <c r="A168" s="149"/>
      <c r="B168" s="149"/>
      <c r="C168" s="149"/>
      <c r="D168" s="149"/>
      <c r="E168" s="149"/>
    </row>
    <row r="169" spans="1:5" ht="13.5" x14ac:dyDescent="0.25">
      <c r="A169" s="149"/>
      <c r="B169" s="149"/>
      <c r="C169" s="149"/>
      <c r="D169" s="149"/>
      <c r="E169" s="149"/>
    </row>
    <row r="170" spans="1:5" ht="13.5" x14ac:dyDescent="0.25">
      <c r="A170" s="149"/>
      <c r="B170" s="149"/>
      <c r="C170" s="149"/>
      <c r="D170" s="149"/>
      <c r="E170" s="149"/>
    </row>
    <row r="171" spans="1:5" ht="13.5" x14ac:dyDescent="0.25">
      <c r="A171" s="149"/>
      <c r="B171" s="149"/>
      <c r="C171" s="149"/>
      <c r="D171" s="149"/>
      <c r="E171" s="149"/>
    </row>
    <row r="172" spans="1:5" ht="13.5" x14ac:dyDescent="0.25">
      <c r="A172" s="149"/>
      <c r="B172" s="149"/>
      <c r="C172" s="149"/>
      <c r="D172" s="149"/>
      <c r="E172" s="149"/>
    </row>
    <row r="173" spans="1:5" ht="13.5" x14ac:dyDescent="0.25">
      <c r="A173" s="149"/>
      <c r="B173" s="149"/>
      <c r="C173" s="149"/>
      <c r="D173" s="149"/>
      <c r="E173" s="149"/>
    </row>
    <row r="174" spans="1:5" ht="13.5" x14ac:dyDescent="0.25">
      <c r="A174" s="149"/>
      <c r="B174" s="149"/>
      <c r="C174" s="149"/>
      <c r="D174" s="149"/>
      <c r="E174" s="149"/>
    </row>
    <row r="175" spans="1:5" ht="13.5" x14ac:dyDescent="0.25">
      <c r="A175" s="149"/>
      <c r="B175" s="149"/>
      <c r="C175" s="149"/>
      <c r="D175" s="149"/>
      <c r="E175" s="149"/>
    </row>
    <row r="176" spans="1:5" ht="13.5" x14ac:dyDescent="0.25">
      <c r="A176" s="149"/>
      <c r="B176" s="149"/>
      <c r="C176" s="149"/>
      <c r="D176" s="149"/>
      <c r="E176" s="149"/>
    </row>
    <row r="177" spans="1:5" ht="13.5" x14ac:dyDescent="0.25">
      <c r="A177" s="149"/>
      <c r="B177" s="149"/>
      <c r="C177" s="149"/>
      <c r="D177" s="149"/>
      <c r="E177" s="149"/>
    </row>
    <row r="178" spans="1:5" ht="13.5" x14ac:dyDescent="0.25">
      <c r="A178" s="149"/>
      <c r="B178" s="149"/>
      <c r="C178" s="149"/>
      <c r="D178" s="149"/>
      <c r="E178" s="149"/>
    </row>
    <row r="179" spans="1:5" ht="13.5" x14ac:dyDescent="0.25">
      <c r="A179" s="149"/>
      <c r="B179" s="149"/>
      <c r="C179" s="149"/>
      <c r="D179" s="149"/>
      <c r="E179" s="149"/>
    </row>
    <row r="180" spans="1:5" ht="13.5" x14ac:dyDescent="0.25">
      <c r="A180" s="149"/>
      <c r="B180" s="149"/>
      <c r="C180" s="149"/>
      <c r="D180" s="149"/>
      <c r="E180" s="149"/>
    </row>
    <row r="181" spans="1:5" ht="13.5" x14ac:dyDescent="0.25">
      <c r="A181" s="149"/>
      <c r="B181" s="149"/>
      <c r="C181" s="149"/>
      <c r="D181" s="149"/>
      <c r="E181" s="149"/>
    </row>
    <row r="182" spans="1:5" ht="13.5" x14ac:dyDescent="0.25">
      <c r="A182" s="149"/>
      <c r="B182" s="149"/>
      <c r="C182" s="149"/>
      <c r="D182" s="149"/>
      <c r="E182" s="149"/>
    </row>
    <row r="183" spans="1:5" ht="13.5" x14ac:dyDescent="0.25">
      <c r="A183" s="149"/>
      <c r="B183" s="149"/>
      <c r="C183" s="149"/>
      <c r="D183" s="149"/>
      <c r="E183" s="149"/>
    </row>
    <row r="184" spans="1:5" ht="13.5" x14ac:dyDescent="0.25">
      <c r="A184" s="149"/>
      <c r="B184" s="149"/>
      <c r="C184" s="149"/>
      <c r="D184" s="149"/>
      <c r="E184" s="149"/>
    </row>
    <row r="185" spans="1:5" ht="13.5" x14ac:dyDescent="0.25">
      <c r="A185" s="149"/>
      <c r="B185" s="149"/>
      <c r="C185" s="149"/>
      <c r="D185" s="149"/>
      <c r="E185" s="149"/>
    </row>
    <row r="186" spans="1:5" ht="13.5" x14ac:dyDescent="0.25">
      <c r="A186" s="149"/>
      <c r="B186" s="149"/>
      <c r="C186" s="149"/>
      <c r="D186" s="149"/>
      <c r="E186" s="149"/>
    </row>
    <row r="187" spans="1:5" ht="13.5" x14ac:dyDescent="0.25">
      <c r="A187" s="149"/>
      <c r="B187" s="149"/>
      <c r="C187" s="149"/>
      <c r="D187" s="149"/>
      <c r="E187" s="149"/>
    </row>
    <row r="188" spans="1:5" ht="13.5" x14ac:dyDescent="0.25">
      <c r="A188" s="149"/>
      <c r="B188" s="149"/>
      <c r="C188" s="149"/>
      <c r="D188" s="149"/>
      <c r="E188" s="149"/>
    </row>
    <row r="189" spans="1:5" ht="13.5" x14ac:dyDescent="0.25">
      <c r="A189" s="149"/>
      <c r="B189" s="149"/>
      <c r="C189" s="149"/>
      <c r="D189" s="149"/>
      <c r="E189" s="149"/>
    </row>
    <row r="190" spans="1:5" ht="13.5" x14ac:dyDescent="0.25">
      <c r="A190" s="149"/>
      <c r="B190" s="149"/>
      <c r="C190" s="149"/>
      <c r="D190" s="149"/>
      <c r="E190" s="149"/>
    </row>
    <row r="191" spans="1:5" ht="13.5" x14ac:dyDescent="0.25">
      <c r="A191" s="149"/>
      <c r="B191" s="149"/>
      <c r="C191" s="149"/>
      <c r="D191" s="149"/>
      <c r="E191" s="149"/>
    </row>
  </sheetData>
  <mergeCells count="37">
    <mergeCell ref="A2:E2"/>
    <mergeCell ref="A3:E3"/>
    <mergeCell ref="A4:E4"/>
    <mergeCell ref="A5:E5"/>
    <mergeCell ref="A7:B8"/>
    <mergeCell ref="D7:D8"/>
    <mergeCell ref="E49:E50"/>
    <mergeCell ref="A23:A26"/>
    <mergeCell ref="A29:E29"/>
    <mergeCell ref="A30:B30"/>
    <mergeCell ref="A32:A34"/>
    <mergeCell ref="A39:B40"/>
    <mergeCell ref="C39:C40"/>
    <mergeCell ref="D39:D40"/>
    <mergeCell ref="D49:D50"/>
    <mergeCell ref="A43:A44"/>
    <mergeCell ref="A45:A47"/>
    <mergeCell ref="A49:A50"/>
    <mergeCell ref="B49:B50"/>
    <mergeCell ref="C49:C50"/>
    <mergeCell ref="A52:B53"/>
    <mergeCell ref="D52:D53"/>
    <mergeCell ref="A54:B54"/>
    <mergeCell ref="A55:A56"/>
    <mergeCell ref="B55:B56"/>
    <mergeCell ref="A83:A86"/>
    <mergeCell ref="A91:E91"/>
    <mergeCell ref="A92:E92"/>
    <mergeCell ref="A57:A60"/>
    <mergeCell ref="A65:A68"/>
    <mergeCell ref="A70:B71"/>
    <mergeCell ref="C70:C71"/>
    <mergeCell ref="D70:D71"/>
    <mergeCell ref="A72:B72"/>
    <mergeCell ref="A73:A74"/>
    <mergeCell ref="B73:B74"/>
    <mergeCell ref="A75:A78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topLeftCell="A2" workbookViewId="0">
      <selection activeCell="I58" sqref="I58"/>
    </sheetView>
  </sheetViews>
  <sheetFormatPr baseColWidth="10" defaultRowHeight="12.75" x14ac:dyDescent="0.2"/>
  <cols>
    <col min="1" max="1" width="3.7109375" style="199" customWidth="1"/>
    <col min="2" max="2" width="5.42578125" style="199" customWidth="1"/>
    <col min="3" max="3" width="45.5703125" style="199" customWidth="1"/>
    <col min="4" max="9" width="12.7109375" style="199" customWidth="1"/>
    <col min="10" max="10" width="11.42578125" style="199"/>
    <col min="11" max="11" width="16.7109375" style="199" customWidth="1"/>
    <col min="12" max="12" width="18.42578125" style="199" customWidth="1"/>
    <col min="13" max="16384" width="11.42578125" style="199"/>
  </cols>
  <sheetData>
    <row r="1" spans="1:19" ht="13.5" hidden="1" thickBot="1" x14ac:dyDescent="0.25">
      <c r="A1" s="226" t="s">
        <v>124</v>
      </c>
      <c r="G1" s="199" t="s">
        <v>558</v>
      </c>
      <c r="H1" s="199" t="s">
        <v>486</v>
      </c>
      <c r="I1" s="199" t="s">
        <v>485</v>
      </c>
      <c r="J1" s="199" t="s">
        <v>484</v>
      </c>
      <c r="K1" s="225">
        <v>43100</v>
      </c>
      <c r="L1" s="199">
        <v>31</v>
      </c>
      <c r="P1" s="199">
        <v>12</v>
      </c>
      <c r="S1" s="199" t="s">
        <v>103</v>
      </c>
    </row>
    <row r="2" spans="1:19" ht="20.25" x14ac:dyDescent="0.2">
      <c r="A2" s="296" t="s">
        <v>0</v>
      </c>
      <c r="B2" s="297"/>
      <c r="C2" s="297"/>
      <c r="D2" s="297"/>
      <c r="E2" s="297"/>
      <c r="F2" s="297"/>
      <c r="G2" s="297"/>
      <c r="H2" s="297"/>
      <c r="I2" s="298"/>
    </row>
    <row r="3" spans="1:19" ht="15.75" x14ac:dyDescent="0.2">
      <c r="A3" s="299" t="s">
        <v>557</v>
      </c>
      <c r="B3" s="300"/>
      <c r="C3" s="300"/>
      <c r="D3" s="300"/>
      <c r="E3" s="300"/>
      <c r="F3" s="300"/>
      <c r="G3" s="300"/>
      <c r="H3" s="300"/>
      <c r="I3" s="301"/>
    </row>
    <row r="4" spans="1:19" ht="13.5" x14ac:dyDescent="0.2">
      <c r="A4" s="302" t="s">
        <v>480</v>
      </c>
      <c r="B4" s="303"/>
      <c r="C4" s="303"/>
      <c r="D4" s="303"/>
      <c r="E4" s="303"/>
      <c r="F4" s="303"/>
      <c r="G4" s="303"/>
      <c r="H4" s="303"/>
      <c r="I4" s="304"/>
    </row>
    <row r="5" spans="1:19" ht="13.5" x14ac:dyDescent="0.2">
      <c r="A5" s="302" t="s">
        <v>479</v>
      </c>
      <c r="B5" s="303"/>
      <c r="C5" s="303"/>
      <c r="D5" s="303"/>
      <c r="E5" s="303"/>
      <c r="F5" s="303"/>
      <c r="G5" s="303"/>
      <c r="H5" s="303"/>
      <c r="I5" s="304"/>
    </row>
    <row r="6" spans="1:19" ht="14.25" thickBot="1" x14ac:dyDescent="0.25">
      <c r="A6" s="305"/>
      <c r="B6" s="306"/>
      <c r="C6" s="306"/>
      <c r="D6" s="306"/>
      <c r="E6" s="306"/>
      <c r="F6" s="306"/>
      <c r="G6" s="306"/>
      <c r="H6" s="306"/>
      <c r="I6" s="307"/>
    </row>
    <row r="7" spans="1:19" ht="14.25" thickBot="1" x14ac:dyDescent="0.25">
      <c r="A7" s="286"/>
      <c r="B7" s="287"/>
      <c r="C7" s="288"/>
      <c r="D7" s="289" t="s">
        <v>128</v>
      </c>
      <c r="E7" s="290"/>
      <c r="F7" s="290"/>
      <c r="G7" s="290"/>
      <c r="H7" s="291"/>
      <c r="I7" s="278" t="s">
        <v>556</v>
      </c>
    </row>
    <row r="8" spans="1:19" ht="13.5" x14ac:dyDescent="0.2">
      <c r="A8" s="293" t="s">
        <v>449</v>
      </c>
      <c r="B8" s="294"/>
      <c r="C8" s="295"/>
      <c r="D8" s="278" t="s">
        <v>555</v>
      </c>
      <c r="E8" s="276" t="s">
        <v>554</v>
      </c>
      <c r="F8" s="278" t="s">
        <v>1</v>
      </c>
      <c r="G8" s="278" t="s">
        <v>2</v>
      </c>
      <c r="H8" s="278" t="s">
        <v>131</v>
      </c>
      <c r="I8" s="292"/>
    </row>
    <row r="9" spans="1:19" ht="57" customHeight="1" thickBot="1" x14ac:dyDescent="0.25">
      <c r="A9" s="280" t="s">
        <v>553</v>
      </c>
      <c r="B9" s="281"/>
      <c r="C9" s="282"/>
      <c r="D9" s="279"/>
      <c r="E9" s="277"/>
      <c r="F9" s="279"/>
      <c r="G9" s="279"/>
      <c r="H9" s="279"/>
      <c r="I9" s="279"/>
    </row>
    <row r="10" spans="1:19" ht="13.5" x14ac:dyDescent="0.2">
      <c r="A10" s="283"/>
      <c r="B10" s="284"/>
      <c r="C10" s="285"/>
      <c r="D10" s="224"/>
      <c r="E10" s="224"/>
      <c r="F10" s="224"/>
      <c r="G10" s="224"/>
      <c r="H10" s="224"/>
      <c r="I10" s="223"/>
    </row>
    <row r="11" spans="1:19" ht="13.5" x14ac:dyDescent="0.2">
      <c r="A11" s="272" t="s">
        <v>552</v>
      </c>
      <c r="B11" s="266"/>
      <c r="C11" s="267"/>
      <c r="D11" s="224"/>
      <c r="E11" s="224"/>
      <c r="F11" s="224"/>
      <c r="G11" s="224"/>
      <c r="H11" s="224"/>
      <c r="I11" s="223"/>
    </row>
    <row r="12" spans="1:19" ht="13.5" x14ac:dyDescent="0.2">
      <c r="A12" s="208"/>
      <c r="B12" s="264" t="s">
        <v>551</v>
      </c>
      <c r="C12" s="265"/>
      <c r="D12" s="220">
        <v>2884280750</v>
      </c>
      <c r="E12" s="220">
        <v>-64611627</v>
      </c>
      <c r="F12" s="220">
        <v>2819669123</v>
      </c>
      <c r="G12" s="220">
        <v>2819669122</v>
      </c>
      <c r="H12" s="220">
        <v>2819669122</v>
      </c>
      <c r="I12" s="220">
        <v>64611627</v>
      </c>
    </row>
    <row r="13" spans="1:19" ht="13.5" x14ac:dyDescent="0.2">
      <c r="A13" s="208"/>
      <c r="B13" s="264" t="s">
        <v>550</v>
      </c>
      <c r="C13" s="265"/>
      <c r="D13" s="220">
        <v>0</v>
      </c>
      <c r="E13" s="220">
        <v>0</v>
      </c>
      <c r="F13" s="220">
        <v>0</v>
      </c>
      <c r="G13" s="220">
        <v>0</v>
      </c>
      <c r="H13" s="220">
        <v>0</v>
      </c>
      <c r="I13" s="220">
        <v>0</v>
      </c>
    </row>
    <row r="14" spans="1:19" ht="13.5" x14ac:dyDescent="0.2">
      <c r="A14" s="208"/>
      <c r="B14" s="264" t="s">
        <v>549</v>
      </c>
      <c r="C14" s="265"/>
      <c r="D14" s="220">
        <v>0</v>
      </c>
      <c r="E14" s="220">
        <v>0</v>
      </c>
      <c r="F14" s="220">
        <v>0</v>
      </c>
      <c r="G14" s="220">
        <v>0</v>
      </c>
      <c r="H14" s="220">
        <v>0</v>
      </c>
      <c r="I14" s="220">
        <v>0</v>
      </c>
    </row>
    <row r="15" spans="1:19" ht="13.5" x14ac:dyDescent="0.2">
      <c r="A15" s="208"/>
      <c r="B15" s="264" t="s">
        <v>548</v>
      </c>
      <c r="C15" s="265"/>
      <c r="D15" s="220">
        <v>1725981511</v>
      </c>
      <c r="E15" s="220">
        <v>-184622588</v>
      </c>
      <c r="F15" s="220">
        <v>1541358923</v>
      </c>
      <c r="G15" s="220">
        <v>1541358924</v>
      </c>
      <c r="H15" s="220">
        <v>1541358924</v>
      </c>
      <c r="I15" s="220">
        <v>184622588</v>
      </c>
    </row>
    <row r="16" spans="1:19" ht="13.5" x14ac:dyDescent="0.2">
      <c r="A16" s="208"/>
      <c r="B16" s="264" t="s">
        <v>547</v>
      </c>
      <c r="C16" s="265"/>
      <c r="D16" s="220">
        <v>45792731</v>
      </c>
      <c r="E16" s="220">
        <v>79802099</v>
      </c>
      <c r="F16" s="220">
        <v>125594830</v>
      </c>
      <c r="G16" s="220">
        <v>125092290</v>
      </c>
      <c r="H16" s="220">
        <v>125092290</v>
      </c>
      <c r="I16" s="220">
        <v>-79299558</v>
      </c>
    </row>
    <row r="17" spans="1:11" ht="13.5" x14ac:dyDescent="0.2">
      <c r="A17" s="208"/>
      <c r="B17" s="264" t="s">
        <v>546</v>
      </c>
      <c r="C17" s="265"/>
      <c r="D17" s="220">
        <v>59139280</v>
      </c>
      <c r="E17" s="220">
        <v>480222506</v>
      </c>
      <c r="F17" s="220">
        <v>539361786</v>
      </c>
      <c r="G17" s="220">
        <v>565032378</v>
      </c>
      <c r="H17" s="220">
        <v>565032378</v>
      </c>
      <c r="I17" s="220">
        <v>-505893097</v>
      </c>
      <c r="K17" s="222"/>
    </row>
    <row r="18" spans="1:11" ht="13.5" x14ac:dyDescent="0.2">
      <c r="A18" s="208"/>
      <c r="B18" s="264" t="s">
        <v>545</v>
      </c>
      <c r="C18" s="265"/>
      <c r="D18" s="220">
        <v>4788853</v>
      </c>
      <c r="E18" s="220">
        <v>-130094</v>
      </c>
      <c r="F18" s="220">
        <v>4658759</v>
      </c>
      <c r="G18" s="220">
        <v>6670370</v>
      </c>
      <c r="H18" s="220">
        <v>6670370</v>
      </c>
      <c r="I18" s="220">
        <v>-1881517</v>
      </c>
    </row>
    <row r="19" spans="1:11" ht="13.5" x14ac:dyDescent="0.2">
      <c r="A19" s="273"/>
      <c r="B19" s="264" t="s">
        <v>544</v>
      </c>
      <c r="C19" s="265"/>
      <c r="D19" s="220"/>
      <c r="E19" s="220"/>
      <c r="F19" s="220"/>
      <c r="G19" s="220"/>
      <c r="H19" s="220"/>
      <c r="I19" s="220"/>
    </row>
    <row r="20" spans="1:11" ht="13.5" x14ac:dyDescent="0.2">
      <c r="A20" s="273"/>
      <c r="B20" s="264" t="s">
        <v>543</v>
      </c>
      <c r="C20" s="265"/>
      <c r="D20" s="220">
        <f t="shared" ref="D20:I20" si="0">SUM(D21:D31)</f>
        <v>17988005166</v>
      </c>
      <c r="E20" s="220">
        <f t="shared" si="0"/>
        <v>1491694340</v>
      </c>
      <c r="F20" s="220">
        <f t="shared" si="0"/>
        <v>19479699506</v>
      </c>
      <c r="G20" s="220">
        <f t="shared" si="0"/>
        <v>19487772998</v>
      </c>
      <c r="H20" s="220">
        <f t="shared" si="0"/>
        <v>19487772998</v>
      </c>
      <c r="I20" s="220">
        <f t="shared" si="0"/>
        <v>-1499767832</v>
      </c>
    </row>
    <row r="21" spans="1:11" ht="13.5" x14ac:dyDescent="0.2">
      <c r="A21" s="208"/>
      <c r="B21" s="217"/>
      <c r="C21" s="216" t="s">
        <v>542</v>
      </c>
      <c r="D21" s="220">
        <v>13075164118</v>
      </c>
      <c r="E21" s="220">
        <v>919545141</v>
      </c>
      <c r="F21" s="220">
        <v>13994709259</v>
      </c>
      <c r="G21" s="220">
        <v>14002782751</v>
      </c>
      <c r="H21" s="220">
        <v>14002782751</v>
      </c>
      <c r="I21" s="220">
        <v>-927618633</v>
      </c>
      <c r="K21" s="222"/>
    </row>
    <row r="22" spans="1:11" ht="13.5" x14ac:dyDescent="0.2">
      <c r="A22" s="208"/>
      <c r="B22" s="217"/>
      <c r="C22" s="216" t="s">
        <v>541</v>
      </c>
      <c r="D22" s="220">
        <v>389726585</v>
      </c>
      <c r="E22" s="220">
        <v>31123066</v>
      </c>
      <c r="F22" s="220">
        <v>420849651</v>
      </c>
      <c r="G22" s="220">
        <v>420849651</v>
      </c>
      <c r="H22" s="220">
        <v>420849651</v>
      </c>
      <c r="I22" s="220">
        <v>-31123066</v>
      </c>
    </row>
    <row r="23" spans="1:11" ht="13.5" x14ac:dyDescent="0.2">
      <c r="A23" s="208"/>
      <c r="B23" s="217"/>
      <c r="C23" s="216" t="s">
        <v>540</v>
      </c>
      <c r="D23" s="220">
        <v>3330331398</v>
      </c>
      <c r="E23" s="220">
        <v>249834432</v>
      </c>
      <c r="F23" s="220">
        <v>3580165830</v>
      </c>
      <c r="G23" s="220">
        <v>3580165830</v>
      </c>
      <c r="H23" s="220">
        <v>3580165830</v>
      </c>
      <c r="I23" s="220">
        <v>-249834432</v>
      </c>
    </row>
    <row r="24" spans="1:11" ht="13.5" x14ac:dyDescent="0.2">
      <c r="A24" s="208"/>
      <c r="B24" s="217"/>
      <c r="C24" s="216" t="s">
        <v>539</v>
      </c>
      <c r="D24" s="220"/>
      <c r="E24" s="220"/>
      <c r="F24" s="220"/>
      <c r="G24" s="220"/>
      <c r="H24" s="220"/>
      <c r="I24" s="220"/>
    </row>
    <row r="25" spans="1:11" ht="13.5" x14ac:dyDescent="0.2">
      <c r="A25" s="208"/>
      <c r="B25" s="217"/>
      <c r="C25" s="216" t="s">
        <v>538</v>
      </c>
      <c r="D25" s="220"/>
      <c r="E25" s="220"/>
      <c r="F25" s="220"/>
      <c r="G25" s="220"/>
      <c r="H25" s="220"/>
      <c r="I25" s="220"/>
    </row>
    <row r="26" spans="1:11" ht="13.5" x14ac:dyDescent="0.2">
      <c r="A26" s="208"/>
      <c r="B26" s="217"/>
      <c r="C26" s="216" t="s">
        <v>537</v>
      </c>
      <c r="D26" s="220">
        <v>384197713</v>
      </c>
      <c r="E26" s="220">
        <v>54254258</v>
      </c>
      <c r="F26" s="220">
        <v>438451971</v>
      </c>
      <c r="G26" s="220">
        <v>438451971</v>
      </c>
      <c r="H26" s="220">
        <v>438451971</v>
      </c>
      <c r="I26" s="220">
        <v>-54254258</v>
      </c>
    </row>
    <row r="27" spans="1:11" ht="13.5" x14ac:dyDescent="0.2">
      <c r="A27" s="208"/>
      <c r="B27" s="217"/>
      <c r="C27" s="216" t="s">
        <v>536</v>
      </c>
      <c r="D27" s="220"/>
      <c r="E27" s="220"/>
      <c r="F27" s="220"/>
      <c r="G27" s="220"/>
      <c r="H27" s="220"/>
      <c r="I27" s="220"/>
    </row>
    <row r="28" spans="1:11" ht="13.5" x14ac:dyDescent="0.2">
      <c r="A28" s="208"/>
      <c r="B28" s="217"/>
      <c r="C28" s="216" t="s">
        <v>535</v>
      </c>
      <c r="D28" s="220"/>
      <c r="E28" s="220"/>
      <c r="F28" s="220"/>
      <c r="G28" s="220"/>
      <c r="H28" s="220"/>
      <c r="I28" s="220"/>
    </row>
    <row r="29" spans="1:11" ht="13.5" x14ac:dyDescent="0.2">
      <c r="A29" s="208"/>
      <c r="B29" s="217"/>
      <c r="C29" s="216" t="s">
        <v>534</v>
      </c>
      <c r="D29" s="220"/>
      <c r="E29" s="220"/>
      <c r="F29" s="220"/>
      <c r="G29" s="220"/>
      <c r="H29" s="220"/>
      <c r="I29" s="220"/>
    </row>
    <row r="30" spans="1:11" ht="13.5" x14ac:dyDescent="0.2">
      <c r="A30" s="208"/>
      <c r="B30" s="217"/>
      <c r="C30" s="216" t="s">
        <v>533</v>
      </c>
      <c r="D30" s="220">
        <v>808585352</v>
      </c>
      <c r="E30" s="220">
        <v>236937443</v>
      </c>
      <c r="F30" s="220">
        <v>1045522795</v>
      </c>
      <c r="G30" s="220">
        <v>1045522795</v>
      </c>
      <c r="H30" s="220">
        <v>1045522795</v>
      </c>
      <c r="I30" s="220">
        <v>-236937443</v>
      </c>
    </row>
    <row r="31" spans="1:11" ht="13.5" x14ac:dyDescent="0.2">
      <c r="A31" s="208"/>
      <c r="B31" s="217"/>
      <c r="C31" s="216" t="s">
        <v>532</v>
      </c>
      <c r="D31" s="220"/>
      <c r="E31" s="220"/>
      <c r="F31" s="220"/>
      <c r="G31" s="220"/>
      <c r="H31" s="220"/>
      <c r="I31" s="220"/>
    </row>
    <row r="32" spans="1:11" ht="13.5" x14ac:dyDescent="0.2">
      <c r="A32" s="208"/>
      <c r="B32" s="264" t="s">
        <v>531</v>
      </c>
      <c r="C32" s="265"/>
      <c r="D32" s="220">
        <f t="shared" ref="D32:I32" si="1">SUM(D33:D37)</f>
        <v>1902689864</v>
      </c>
      <c r="E32" s="220">
        <f t="shared" si="1"/>
        <v>98079028</v>
      </c>
      <c r="F32" s="220">
        <f t="shared" si="1"/>
        <v>2000768892</v>
      </c>
      <c r="G32" s="220">
        <f t="shared" si="1"/>
        <v>2000830002</v>
      </c>
      <c r="H32" s="220">
        <f t="shared" si="1"/>
        <v>2000830002</v>
      </c>
      <c r="I32" s="220">
        <f t="shared" si="1"/>
        <v>-98140138</v>
      </c>
    </row>
    <row r="33" spans="1:12" ht="13.5" x14ac:dyDescent="0.2">
      <c r="A33" s="208"/>
      <c r="B33" s="217"/>
      <c r="C33" s="216" t="s">
        <v>530</v>
      </c>
      <c r="D33" s="220">
        <v>600000</v>
      </c>
      <c r="E33" s="220">
        <v>75276</v>
      </c>
      <c r="F33" s="220">
        <v>675276</v>
      </c>
      <c r="G33" s="220">
        <v>675276</v>
      </c>
      <c r="H33" s="220">
        <v>675276</v>
      </c>
      <c r="I33" s="220">
        <v>-75276</v>
      </c>
    </row>
    <row r="34" spans="1:12" ht="13.5" x14ac:dyDescent="0.2">
      <c r="A34" s="208"/>
      <c r="B34" s="217"/>
      <c r="C34" s="216" t="s">
        <v>529</v>
      </c>
      <c r="D34" s="220">
        <v>62892465</v>
      </c>
      <c r="E34" s="220">
        <v>3</v>
      </c>
      <c r="F34" s="220">
        <v>62892468</v>
      </c>
      <c r="G34" s="220">
        <v>62892468</v>
      </c>
      <c r="H34" s="220">
        <v>62892468</v>
      </c>
      <c r="I34" s="220">
        <v>-3</v>
      </c>
    </row>
    <row r="35" spans="1:12" ht="13.5" x14ac:dyDescent="0.2">
      <c r="A35" s="208"/>
      <c r="B35" s="217"/>
      <c r="C35" s="216" t="s">
        <v>528</v>
      </c>
      <c r="D35" s="220">
        <v>261707250</v>
      </c>
      <c r="E35" s="220">
        <v>34369641</v>
      </c>
      <c r="F35" s="220">
        <v>296076891</v>
      </c>
      <c r="G35" s="220">
        <v>296076891</v>
      </c>
      <c r="H35" s="220">
        <v>296076891</v>
      </c>
      <c r="I35" s="220">
        <v>-34369641</v>
      </c>
    </row>
    <row r="36" spans="1:12" ht="13.5" x14ac:dyDescent="0.2">
      <c r="A36" s="208"/>
      <c r="B36" s="217"/>
      <c r="C36" s="216" t="s">
        <v>527</v>
      </c>
      <c r="D36" s="220">
        <v>964240290</v>
      </c>
      <c r="E36" s="220">
        <v>-34821941</v>
      </c>
      <c r="F36" s="220">
        <v>929418349</v>
      </c>
      <c r="G36" s="220">
        <v>929418349</v>
      </c>
      <c r="H36" s="220">
        <v>929418349</v>
      </c>
      <c r="I36" s="220">
        <v>34821941</v>
      </c>
    </row>
    <row r="37" spans="1:12" ht="13.5" x14ac:dyDescent="0.2">
      <c r="A37" s="208"/>
      <c r="B37" s="217"/>
      <c r="C37" s="216" t="s">
        <v>526</v>
      </c>
      <c r="D37" s="220">
        <v>613249859</v>
      </c>
      <c r="E37" s="220">
        <v>98456049</v>
      </c>
      <c r="F37" s="220">
        <v>711705908</v>
      </c>
      <c r="G37" s="220">
        <v>711767018</v>
      </c>
      <c r="H37" s="220">
        <v>711767018</v>
      </c>
      <c r="I37" s="220">
        <v>-98517159</v>
      </c>
    </row>
    <row r="38" spans="1:12" ht="13.5" x14ac:dyDescent="0.2">
      <c r="A38" s="215"/>
      <c r="B38" s="217" t="s">
        <v>525</v>
      </c>
      <c r="C38" s="216"/>
      <c r="D38" s="220">
        <v>7252770866</v>
      </c>
      <c r="E38" s="220">
        <v>420016607</v>
      </c>
      <c r="F38" s="220">
        <v>7672787473</v>
      </c>
      <c r="G38" s="220">
        <v>7672787473</v>
      </c>
      <c r="H38" s="220">
        <v>7672787473</v>
      </c>
      <c r="I38" s="220">
        <v>-420016607</v>
      </c>
      <c r="L38" s="222"/>
    </row>
    <row r="39" spans="1:12" ht="13.5" x14ac:dyDescent="0.2">
      <c r="A39" s="208"/>
      <c r="B39" s="217" t="s">
        <v>524</v>
      </c>
      <c r="C39" s="216"/>
      <c r="D39" s="220">
        <f t="shared" ref="D39:I39" si="2">+D40</f>
        <v>0</v>
      </c>
      <c r="E39" s="220">
        <f t="shared" si="2"/>
        <v>0</v>
      </c>
      <c r="F39" s="220">
        <f t="shared" si="2"/>
        <v>0</v>
      </c>
      <c r="G39" s="220">
        <f t="shared" si="2"/>
        <v>0</v>
      </c>
      <c r="H39" s="220">
        <f t="shared" si="2"/>
        <v>0</v>
      </c>
      <c r="I39" s="220">
        <f t="shared" si="2"/>
        <v>0</v>
      </c>
    </row>
    <row r="40" spans="1:12" ht="13.5" x14ac:dyDescent="0.2">
      <c r="A40" s="208"/>
      <c r="B40" s="217"/>
      <c r="C40" s="216" t="s">
        <v>523</v>
      </c>
      <c r="D40" s="220"/>
      <c r="E40" s="220"/>
      <c r="F40" s="220"/>
      <c r="G40" s="220"/>
      <c r="H40" s="220"/>
      <c r="I40" s="220"/>
    </row>
    <row r="41" spans="1:12" ht="13.5" x14ac:dyDescent="0.2">
      <c r="A41" s="208"/>
      <c r="B41" s="264" t="s">
        <v>522</v>
      </c>
      <c r="C41" s="265"/>
      <c r="D41" s="220">
        <f t="shared" ref="D41:I41" si="3">+D42+D43</f>
        <v>0</v>
      </c>
      <c r="E41" s="220">
        <f t="shared" si="3"/>
        <v>0</v>
      </c>
      <c r="F41" s="220">
        <f t="shared" si="3"/>
        <v>0</v>
      </c>
      <c r="G41" s="220">
        <f t="shared" si="3"/>
        <v>0</v>
      </c>
      <c r="H41" s="220">
        <f t="shared" si="3"/>
        <v>0</v>
      </c>
      <c r="I41" s="220">
        <f t="shared" si="3"/>
        <v>0</v>
      </c>
    </row>
    <row r="42" spans="1:12" ht="13.5" x14ac:dyDescent="0.2">
      <c r="A42" s="208"/>
      <c r="B42" s="217"/>
      <c r="C42" s="216" t="s">
        <v>521</v>
      </c>
      <c r="D42" s="211"/>
      <c r="E42" s="211"/>
      <c r="F42" s="211"/>
      <c r="G42" s="211"/>
      <c r="H42" s="211"/>
      <c r="I42" s="209"/>
    </row>
    <row r="43" spans="1:12" ht="13.5" x14ac:dyDescent="0.2">
      <c r="A43" s="208"/>
      <c r="B43" s="217"/>
      <c r="C43" s="216" t="s">
        <v>520</v>
      </c>
      <c r="D43" s="211"/>
      <c r="E43" s="211"/>
      <c r="F43" s="211"/>
      <c r="G43" s="211"/>
      <c r="H43" s="211"/>
      <c r="I43" s="209"/>
    </row>
    <row r="44" spans="1:12" ht="13.5" x14ac:dyDescent="0.2">
      <c r="A44" s="208"/>
      <c r="B44" s="217"/>
      <c r="C44" s="216"/>
      <c r="D44" s="211"/>
      <c r="E44" s="211"/>
      <c r="F44" s="211"/>
      <c r="G44" s="211"/>
      <c r="H44" s="211"/>
      <c r="I44" s="209"/>
    </row>
    <row r="45" spans="1:12" ht="13.5" x14ac:dyDescent="0.2">
      <c r="A45" s="272" t="s">
        <v>519</v>
      </c>
      <c r="B45" s="266"/>
      <c r="C45" s="267"/>
      <c r="D45" s="207">
        <f t="shared" ref="D45:I45" si="4">+D12+D13+D14+D15+D16+D17+D18+D20+D32+D38+D39+D41</f>
        <v>31863449021</v>
      </c>
      <c r="E45" s="207">
        <f t="shared" si="4"/>
        <v>2320450271</v>
      </c>
      <c r="F45" s="207">
        <f t="shared" si="4"/>
        <v>34183899292</v>
      </c>
      <c r="G45" s="207">
        <f t="shared" si="4"/>
        <v>34219213557</v>
      </c>
      <c r="H45" s="207">
        <f t="shared" si="4"/>
        <v>34219213557</v>
      </c>
      <c r="I45" s="207">
        <f t="shared" si="4"/>
        <v>-2355764534</v>
      </c>
    </row>
    <row r="46" spans="1:12" ht="13.5" x14ac:dyDescent="0.2">
      <c r="A46" s="272" t="s">
        <v>518</v>
      </c>
      <c r="B46" s="266"/>
      <c r="C46" s="267"/>
      <c r="D46" s="220"/>
      <c r="E46" s="221"/>
      <c r="F46" s="221"/>
      <c r="G46" s="221"/>
      <c r="H46" s="221"/>
      <c r="I46" s="219"/>
    </row>
    <row r="47" spans="1:12" ht="13.5" x14ac:dyDescent="0.2">
      <c r="A47" s="273"/>
      <c r="B47" s="264"/>
      <c r="C47" s="265"/>
      <c r="D47" s="220"/>
      <c r="E47" s="220"/>
      <c r="F47" s="220"/>
      <c r="G47" s="220"/>
      <c r="H47" s="220"/>
      <c r="I47" s="219"/>
    </row>
    <row r="48" spans="1:12" ht="13.5" x14ac:dyDescent="0.2">
      <c r="A48" s="272" t="s">
        <v>517</v>
      </c>
      <c r="B48" s="266"/>
      <c r="C48" s="267"/>
      <c r="D48" s="210"/>
      <c r="E48" s="210"/>
      <c r="F48" s="210"/>
      <c r="G48" s="210"/>
      <c r="H48" s="210"/>
      <c r="I48" s="209"/>
    </row>
    <row r="49" spans="1:9" ht="13.5" x14ac:dyDescent="0.2">
      <c r="A49" s="208"/>
      <c r="B49" s="217"/>
      <c r="C49" s="216"/>
      <c r="D49" s="212"/>
      <c r="E49" s="214"/>
      <c r="F49" s="214"/>
      <c r="G49" s="214"/>
      <c r="H49" s="214"/>
      <c r="I49" s="209"/>
    </row>
    <row r="50" spans="1:9" ht="13.5" x14ac:dyDescent="0.2">
      <c r="A50" s="272" t="s">
        <v>516</v>
      </c>
      <c r="B50" s="266"/>
      <c r="C50" s="267"/>
      <c r="D50" s="212"/>
      <c r="E50" s="212"/>
      <c r="F50" s="212"/>
      <c r="G50" s="212"/>
      <c r="H50" s="212"/>
      <c r="I50" s="209"/>
    </row>
    <row r="51" spans="1:9" ht="13.5" x14ac:dyDescent="0.2">
      <c r="A51" s="208"/>
      <c r="B51" s="264" t="s">
        <v>515</v>
      </c>
      <c r="C51" s="265"/>
      <c r="D51" s="211">
        <f t="shared" ref="D51:I51" si="5">SUM(D52:D59)</f>
        <v>15419803856</v>
      </c>
      <c r="E51" s="211">
        <f t="shared" si="5"/>
        <v>52700979</v>
      </c>
      <c r="F51" s="211">
        <f t="shared" si="5"/>
        <v>15472504834</v>
      </c>
      <c r="G51" s="211">
        <f t="shared" si="5"/>
        <v>15472504834</v>
      </c>
      <c r="H51" s="211">
        <f t="shared" si="5"/>
        <v>15472504834</v>
      </c>
      <c r="I51" s="211">
        <f t="shared" si="5"/>
        <v>-52700979</v>
      </c>
    </row>
    <row r="52" spans="1:9" ht="13.5" x14ac:dyDescent="0.2">
      <c r="A52" s="215"/>
      <c r="B52" s="217"/>
      <c r="C52" s="218" t="s">
        <v>514</v>
      </c>
      <c r="D52" s="211">
        <v>8631444606</v>
      </c>
      <c r="E52" s="211">
        <v>102552227</v>
      </c>
      <c r="F52" s="211">
        <v>8733996832</v>
      </c>
      <c r="G52" s="211">
        <v>8733996832</v>
      </c>
      <c r="H52" s="211">
        <v>8733996832</v>
      </c>
      <c r="I52" s="209">
        <v>-102552227</v>
      </c>
    </row>
    <row r="53" spans="1:9" ht="13.5" x14ac:dyDescent="0.2">
      <c r="A53" s="215"/>
      <c r="B53" s="217"/>
      <c r="C53" s="218" t="s">
        <v>513</v>
      </c>
      <c r="D53" s="211">
        <v>2283970188</v>
      </c>
      <c r="E53" s="211">
        <v>107072449</v>
      </c>
      <c r="F53" s="211">
        <v>2391042637</v>
      </c>
      <c r="G53" s="211">
        <v>2391042637</v>
      </c>
      <c r="H53" s="211">
        <v>2391042637</v>
      </c>
      <c r="I53" s="209">
        <v>-107072449</v>
      </c>
    </row>
    <row r="54" spans="1:9" ht="13.5" x14ac:dyDescent="0.2">
      <c r="A54" s="215"/>
      <c r="B54" s="217"/>
      <c r="C54" s="218" t="s">
        <v>512</v>
      </c>
      <c r="D54" s="211">
        <v>606210969</v>
      </c>
      <c r="E54" s="211">
        <v>15570726</v>
      </c>
      <c r="F54" s="211">
        <v>621781695</v>
      </c>
      <c r="G54" s="211">
        <v>621781695</v>
      </c>
      <c r="H54" s="211">
        <v>621781695</v>
      </c>
      <c r="I54" s="209">
        <v>-15570726</v>
      </c>
    </row>
    <row r="55" spans="1:9" ht="27" x14ac:dyDescent="0.2">
      <c r="A55" s="215"/>
      <c r="B55" s="217"/>
      <c r="C55" s="218" t="s">
        <v>511</v>
      </c>
      <c r="D55" s="211">
        <v>1640966574</v>
      </c>
      <c r="E55" s="211">
        <v>-1631576</v>
      </c>
      <c r="F55" s="211">
        <v>1639334998</v>
      </c>
      <c r="G55" s="211">
        <v>1639334998</v>
      </c>
      <c r="H55" s="211">
        <v>1639334998</v>
      </c>
      <c r="I55" s="209">
        <v>1631576</v>
      </c>
    </row>
    <row r="56" spans="1:9" ht="13.5" x14ac:dyDescent="0.2">
      <c r="A56" s="215"/>
      <c r="B56" s="217"/>
      <c r="C56" s="218" t="s">
        <v>510</v>
      </c>
      <c r="D56" s="211">
        <v>787393555</v>
      </c>
      <c r="E56" s="211">
        <v>-196578562</v>
      </c>
      <c r="F56" s="211">
        <v>590814993</v>
      </c>
      <c r="G56" s="211">
        <v>590814993</v>
      </c>
      <c r="H56" s="211">
        <v>590814993</v>
      </c>
      <c r="I56" s="209">
        <v>196578562</v>
      </c>
    </row>
    <row r="57" spans="1:9" ht="13.5" x14ac:dyDescent="0.2">
      <c r="A57" s="215"/>
      <c r="B57" s="217"/>
      <c r="C57" s="218" t="s">
        <v>509</v>
      </c>
      <c r="D57" s="211">
        <v>285959780</v>
      </c>
      <c r="E57" s="211">
        <v>6232894</v>
      </c>
      <c r="F57" s="211">
        <v>292192674</v>
      </c>
      <c r="G57" s="211">
        <v>292192674</v>
      </c>
      <c r="H57" s="211">
        <v>292192674</v>
      </c>
      <c r="I57" s="209">
        <v>-6232894</v>
      </c>
    </row>
    <row r="58" spans="1:9" ht="27" x14ac:dyDescent="0.2">
      <c r="A58" s="215"/>
      <c r="B58" s="217"/>
      <c r="C58" s="218" t="s">
        <v>508</v>
      </c>
      <c r="D58" s="211">
        <v>299726465</v>
      </c>
      <c r="E58" s="211">
        <v>6705570</v>
      </c>
      <c r="F58" s="211">
        <v>306432035</v>
      </c>
      <c r="G58" s="211">
        <v>306432035</v>
      </c>
      <c r="H58" s="211">
        <v>306432035</v>
      </c>
      <c r="I58" s="209">
        <v>-6705570</v>
      </c>
    </row>
    <row r="59" spans="1:9" ht="27" x14ac:dyDescent="0.2">
      <c r="A59" s="215"/>
      <c r="B59" s="217"/>
      <c r="C59" s="218" t="s">
        <v>507</v>
      </c>
      <c r="D59" s="211">
        <v>884131719</v>
      </c>
      <c r="E59" s="211">
        <v>12777251</v>
      </c>
      <c r="F59" s="211">
        <v>896908970</v>
      </c>
      <c r="G59" s="211">
        <v>896908970</v>
      </c>
      <c r="H59" s="211">
        <v>896908970</v>
      </c>
      <c r="I59" s="209">
        <v>-12777251</v>
      </c>
    </row>
    <row r="60" spans="1:9" ht="13.5" x14ac:dyDescent="0.2">
      <c r="A60" s="208"/>
      <c r="B60" s="264" t="s">
        <v>506</v>
      </c>
      <c r="C60" s="265"/>
      <c r="D60" s="211">
        <f t="shared" ref="D60:I60" si="6">SUM(D61:D64)</f>
        <v>1566500000</v>
      </c>
      <c r="E60" s="211">
        <f t="shared" si="6"/>
        <v>3632892540</v>
      </c>
      <c r="F60" s="211">
        <f t="shared" si="6"/>
        <v>5199392540</v>
      </c>
      <c r="G60" s="211">
        <f t="shared" si="6"/>
        <v>5198570490</v>
      </c>
      <c r="H60" s="211">
        <f t="shared" si="6"/>
        <v>5198570490</v>
      </c>
      <c r="I60" s="211">
        <f t="shared" si="6"/>
        <v>-3632070491</v>
      </c>
    </row>
    <row r="61" spans="1:9" ht="13.5" x14ac:dyDescent="0.2">
      <c r="A61" s="208"/>
      <c r="B61" s="217"/>
      <c r="C61" s="216" t="s">
        <v>505</v>
      </c>
      <c r="D61" s="211"/>
      <c r="E61" s="211"/>
      <c r="F61" s="211"/>
      <c r="G61" s="211"/>
      <c r="H61" s="211"/>
      <c r="I61" s="209">
        <v>0</v>
      </c>
    </row>
    <row r="62" spans="1:9" ht="13.5" x14ac:dyDescent="0.2">
      <c r="A62" s="215"/>
      <c r="B62" s="217"/>
      <c r="C62" s="216" t="s">
        <v>504</v>
      </c>
      <c r="D62" s="211">
        <v>1566500000</v>
      </c>
      <c r="E62" s="211">
        <v>3632892540</v>
      </c>
      <c r="F62" s="211">
        <v>5199392540</v>
      </c>
      <c r="G62" s="211">
        <v>5198570490</v>
      </c>
      <c r="H62" s="211">
        <v>5198570490</v>
      </c>
      <c r="I62" s="209">
        <v>-3632070491</v>
      </c>
    </row>
    <row r="63" spans="1:9" ht="13.5" x14ac:dyDescent="0.2">
      <c r="A63" s="208"/>
      <c r="B63" s="217"/>
      <c r="C63" s="216" t="s">
        <v>503</v>
      </c>
      <c r="D63" s="212"/>
      <c r="E63" s="212"/>
      <c r="F63" s="212"/>
      <c r="G63" s="212"/>
      <c r="H63" s="212"/>
      <c r="I63" s="209"/>
    </row>
    <row r="64" spans="1:9" ht="13.5" x14ac:dyDescent="0.2">
      <c r="A64" s="208"/>
      <c r="B64" s="217"/>
      <c r="C64" s="216" t="s">
        <v>502</v>
      </c>
      <c r="D64" s="212"/>
      <c r="E64" s="212"/>
      <c r="F64" s="212"/>
      <c r="G64" s="212"/>
      <c r="H64" s="212"/>
      <c r="I64" s="209"/>
    </row>
    <row r="65" spans="1:9" ht="13.5" x14ac:dyDescent="0.2">
      <c r="A65" s="208"/>
      <c r="B65" s="264" t="s">
        <v>501</v>
      </c>
      <c r="C65" s="265"/>
      <c r="D65" s="211">
        <v>0</v>
      </c>
      <c r="E65" s="211">
        <v>0</v>
      </c>
      <c r="F65" s="211">
        <v>0</v>
      </c>
      <c r="G65" s="211">
        <v>0</v>
      </c>
      <c r="H65" s="211">
        <v>0</v>
      </c>
      <c r="I65" s="209">
        <v>0</v>
      </c>
    </row>
    <row r="66" spans="1:9" ht="27" x14ac:dyDescent="0.2">
      <c r="A66" s="208"/>
      <c r="B66" s="217"/>
      <c r="C66" s="218" t="s">
        <v>500</v>
      </c>
      <c r="D66" s="212"/>
      <c r="E66" s="212"/>
      <c r="F66" s="212"/>
      <c r="G66" s="212"/>
      <c r="H66" s="212"/>
      <c r="I66" s="209"/>
    </row>
    <row r="67" spans="1:9" ht="13.5" x14ac:dyDescent="0.2">
      <c r="A67" s="208"/>
      <c r="B67" s="217"/>
      <c r="C67" s="216" t="s">
        <v>499</v>
      </c>
      <c r="D67" s="212"/>
      <c r="E67" s="212"/>
      <c r="F67" s="212"/>
      <c r="G67" s="212"/>
      <c r="H67" s="212"/>
      <c r="I67" s="209"/>
    </row>
    <row r="68" spans="1:9" ht="13.5" x14ac:dyDescent="0.2">
      <c r="A68" s="215"/>
      <c r="B68" s="274" t="s">
        <v>498</v>
      </c>
      <c r="C68" s="275"/>
      <c r="D68" s="211">
        <v>3102127067</v>
      </c>
      <c r="E68" s="211">
        <v>-3562043</v>
      </c>
      <c r="F68" s="211">
        <v>3098565024</v>
      </c>
      <c r="G68" s="211">
        <v>3404828650</v>
      </c>
      <c r="H68" s="211">
        <v>3404828650</v>
      </c>
      <c r="I68" s="211">
        <v>-302701583</v>
      </c>
    </row>
    <row r="69" spans="1:9" ht="13.5" x14ac:dyDescent="0.2">
      <c r="A69" s="215"/>
      <c r="B69" s="264" t="s">
        <v>497</v>
      </c>
      <c r="C69" s="265"/>
      <c r="D69" s="211"/>
      <c r="E69" s="211"/>
      <c r="F69" s="211"/>
      <c r="G69" s="211"/>
      <c r="H69" s="211"/>
      <c r="I69" s="211"/>
    </row>
    <row r="70" spans="1:9" ht="13.5" x14ac:dyDescent="0.2">
      <c r="A70" s="208"/>
      <c r="B70" s="264"/>
      <c r="C70" s="265"/>
      <c r="D70" s="212"/>
      <c r="E70" s="214"/>
      <c r="F70" s="214"/>
      <c r="G70" s="214"/>
      <c r="H70" s="214"/>
      <c r="I70" s="209"/>
    </row>
    <row r="71" spans="1:9" ht="13.5" x14ac:dyDescent="0.2">
      <c r="A71" s="272" t="s">
        <v>496</v>
      </c>
      <c r="B71" s="266"/>
      <c r="C71" s="267"/>
      <c r="D71" s="207">
        <f t="shared" ref="D71:I71" si="7">+D51+D60+D65+D68+D69</f>
        <v>20088430923</v>
      </c>
      <c r="E71" s="207">
        <f t="shared" si="7"/>
        <v>3682031476</v>
      </c>
      <c r="F71" s="207">
        <f t="shared" si="7"/>
        <v>23770462398</v>
      </c>
      <c r="G71" s="207">
        <f t="shared" si="7"/>
        <v>24075903974</v>
      </c>
      <c r="H71" s="207">
        <f t="shared" si="7"/>
        <v>24075903974</v>
      </c>
      <c r="I71" s="207">
        <f t="shared" si="7"/>
        <v>-3987473053</v>
      </c>
    </row>
    <row r="72" spans="1:9" ht="13.5" x14ac:dyDescent="0.2">
      <c r="A72" s="208"/>
      <c r="B72" s="264"/>
      <c r="C72" s="265"/>
      <c r="D72" s="211"/>
      <c r="E72" s="211"/>
      <c r="F72" s="211"/>
      <c r="G72" s="211"/>
      <c r="H72" s="211"/>
      <c r="I72" s="209"/>
    </row>
    <row r="73" spans="1:9" ht="13.5" x14ac:dyDescent="0.2">
      <c r="A73" s="272" t="s">
        <v>495</v>
      </c>
      <c r="B73" s="266"/>
      <c r="C73" s="267"/>
      <c r="D73" s="213">
        <f t="shared" ref="D73:I73" si="8">+D74</f>
        <v>4500000000</v>
      </c>
      <c r="E73" s="213">
        <f t="shared" si="8"/>
        <v>166150842</v>
      </c>
      <c r="F73" s="213">
        <f t="shared" si="8"/>
        <v>4666150842</v>
      </c>
      <c r="G73" s="213">
        <f t="shared" si="8"/>
        <v>6469562765</v>
      </c>
      <c r="H73" s="213">
        <f t="shared" si="8"/>
        <v>6469562765</v>
      </c>
      <c r="I73" s="213">
        <f t="shared" si="8"/>
        <v>-1969562765</v>
      </c>
    </row>
    <row r="74" spans="1:9" ht="13.5" x14ac:dyDescent="0.2">
      <c r="A74" s="208"/>
      <c r="B74" s="264" t="s">
        <v>494</v>
      </c>
      <c r="C74" s="265"/>
      <c r="D74" s="211">
        <v>4500000000</v>
      </c>
      <c r="E74" s="211">
        <v>166150842</v>
      </c>
      <c r="F74" s="211">
        <v>4666150842</v>
      </c>
      <c r="G74" s="211">
        <v>6469562765</v>
      </c>
      <c r="H74" s="211">
        <v>6469562765</v>
      </c>
      <c r="I74" s="209">
        <v>-1969562765</v>
      </c>
    </row>
    <row r="75" spans="1:9" ht="13.5" x14ac:dyDescent="0.2">
      <c r="A75" s="208"/>
      <c r="B75" s="264"/>
      <c r="C75" s="265"/>
      <c r="D75" s="211"/>
      <c r="E75" s="211"/>
      <c r="F75" s="211"/>
      <c r="G75" s="211"/>
      <c r="H75" s="211"/>
      <c r="I75" s="209"/>
    </row>
    <row r="76" spans="1:9" ht="13.5" x14ac:dyDescent="0.2">
      <c r="A76" s="272" t="s">
        <v>493</v>
      </c>
      <c r="B76" s="266"/>
      <c r="C76" s="267"/>
      <c r="D76" s="207">
        <f t="shared" ref="D76:I76" si="9">+D45+D71+D73</f>
        <v>56451879944</v>
      </c>
      <c r="E76" s="207">
        <f t="shared" si="9"/>
        <v>6168632589</v>
      </c>
      <c r="F76" s="207">
        <f t="shared" si="9"/>
        <v>62620512532</v>
      </c>
      <c r="G76" s="207">
        <f t="shared" si="9"/>
        <v>64764680296</v>
      </c>
      <c r="H76" s="207">
        <f t="shared" si="9"/>
        <v>64764680296</v>
      </c>
      <c r="I76" s="207">
        <f t="shared" si="9"/>
        <v>-8312800352</v>
      </c>
    </row>
    <row r="77" spans="1:9" ht="13.5" x14ac:dyDescent="0.2">
      <c r="A77" s="208"/>
      <c r="B77" s="264"/>
      <c r="C77" s="265"/>
      <c r="D77" s="212"/>
      <c r="E77" s="212"/>
      <c r="F77" s="212"/>
      <c r="G77" s="212"/>
      <c r="H77" s="212"/>
      <c r="I77" s="209"/>
    </row>
    <row r="78" spans="1:9" ht="13.5" x14ac:dyDescent="0.2">
      <c r="A78" s="208"/>
      <c r="B78" s="266" t="s">
        <v>492</v>
      </c>
      <c r="C78" s="267"/>
      <c r="D78" s="212"/>
      <c r="E78" s="212"/>
      <c r="F78" s="212"/>
      <c r="G78" s="212"/>
      <c r="H78" s="212"/>
      <c r="I78" s="209"/>
    </row>
    <row r="79" spans="1:9" ht="13.5" x14ac:dyDescent="0.2">
      <c r="A79" s="208"/>
      <c r="B79" s="268" t="s">
        <v>491</v>
      </c>
      <c r="C79" s="269"/>
      <c r="D79" s="211">
        <v>4500000000</v>
      </c>
      <c r="E79" s="211">
        <v>166150842</v>
      </c>
      <c r="F79" s="211">
        <v>4666150842</v>
      </c>
      <c r="G79" s="211">
        <v>6469562765</v>
      </c>
      <c r="H79" s="211">
        <v>6469562765</v>
      </c>
      <c r="I79" s="211">
        <v>-1969562765</v>
      </c>
    </row>
    <row r="80" spans="1:9" ht="13.5" x14ac:dyDescent="0.2">
      <c r="A80" s="208"/>
      <c r="B80" s="264" t="s">
        <v>490</v>
      </c>
      <c r="C80" s="265"/>
      <c r="D80" s="210"/>
      <c r="E80" s="210"/>
      <c r="F80" s="210"/>
      <c r="G80" s="210"/>
      <c r="H80" s="210"/>
      <c r="I80" s="209"/>
    </row>
    <row r="81" spans="1:10" ht="13.5" x14ac:dyDescent="0.2">
      <c r="A81" s="208"/>
      <c r="B81" s="266" t="s">
        <v>489</v>
      </c>
      <c r="C81" s="267"/>
      <c r="D81" s="207">
        <f t="shared" ref="D81:I81" si="10">+D79+D80</f>
        <v>4500000000</v>
      </c>
      <c r="E81" s="207">
        <f t="shared" si="10"/>
        <v>166150842</v>
      </c>
      <c r="F81" s="207">
        <f t="shared" si="10"/>
        <v>4666150842</v>
      </c>
      <c r="G81" s="207">
        <f t="shared" si="10"/>
        <v>6469562765</v>
      </c>
      <c r="H81" s="207">
        <f t="shared" si="10"/>
        <v>6469562765</v>
      </c>
      <c r="I81" s="207">
        <f t="shared" si="10"/>
        <v>-1969562765</v>
      </c>
    </row>
    <row r="82" spans="1:10" ht="14.25" thickBot="1" x14ac:dyDescent="0.25">
      <c r="A82" s="206"/>
      <c r="B82" s="270"/>
      <c r="C82" s="271"/>
      <c r="D82" s="205"/>
      <c r="E82" s="204"/>
      <c r="F82" s="204"/>
      <c r="G82" s="204"/>
      <c r="H82" s="204"/>
      <c r="I82" s="204"/>
    </row>
    <row r="83" spans="1:10" ht="13.5" x14ac:dyDescent="0.25">
      <c r="A83" s="203"/>
      <c r="B83" s="203"/>
      <c r="C83" s="203"/>
      <c r="D83" s="203"/>
      <c r="E83" s="203"/>
      <c r="F83" s="203"/>
      <c r="G83" s="203"/>
      <c r="H83" s="203"/>
      <c r="I83" s="203"/>
    </row>
    <row r="84" spans="1:10" x14ac:dyDescent="0.2">
      <c r="G84" s="202"/>
    </row>
    <row r="85" spans="1:10" x14ac:dyDescent="0.2">
      <c r="D85" s="202"/>
    </row>
    <row r="86" spans="1:10" s="18" customFormat="1" x14ac:dyDescent="0.2">
      <c r="A86" s="201"/>
      <c r="B86" s="201"/>
      <c r="C86" s="201"/>
      <c r="D86" s="201"/>
      <c r="E86" s="201"/>
    </row>
    <row r="87" spans="1:10" s="18" customFormat="1" ht="16.5" x14ac:dyDescent="0.3">
      <c r="A87" s="263" t="s">
        <v>437</v>
      </c>
      <c r="B87" s="263"/>
      <c r="C87" s="263"/>
      <c r="D87" s="263"/>
      <c r="E87" s="263"/>
      <c r="F87" s="263"/>
      <c r="G87" s="263"/>
      <c r="H87" s="263"/>
      <c r="I87" s="263"/>
    </row>
    <row r="88" spans="1:10" s="18" customFormat="1" ht="16.5" x14ac:dyDescent="0.3">
      <c r="A88" s="263" t="s">
        <v>436</v>
      </c>
      <c r="B88" s="263"/>
      <c r="C88" s="263"/>
      <c r="D88" s="263"/>
      <c r="E88" s="263"/>
      <c r="F88" s="263"/>
      <c r="G88" s="263"/>
      <c r="H88" s="263"/>
      <c r="I88" s="263"/>
      <c r="J88" s="200"/>
    </row>
  </sheetData>
  <mergeCells count="54">
    <mergeCell ref="D7:H7"/>
    <mergeCell ref="I7:I9"/>
    <mergeCell ref="A8:C8"/>
    <mergeCell ref="D8:D9"/>
    <mergeCell ref="A2:I2"/>
    <mergeCell ref="A3:I3"/>
    <mergeCell ref="A4:I4"/>
    <mergeCell ref="A5:I5"/>
    <mergeCell ref="A6:I6"/>
    <mergeCell ref="A10:C10"/>
    <mergeCell ref="A11:C11"/>
    <mergeCell ref="B12:C12"/>
    <mergeCell ref="B13:C13"/>
    <mergeCell ref="A7:C7"/>
    <mergeCell ref="E8:E9"/>
    <mergeCell ref="F8:F9"/>
    <mergeCell ref="G8:G9"/>
    <mergeCell ref="H8:H9"/>
    <mergeCell ref="A9:C9"/>
    <mergeCell ref="B14:C14"/>
    <mergeCell ref="B15:C15"/>
    <mergeCell ref="A50:C50"/>
    <mergeCell ref="B17:C17"/>
    <mergeCell ref="B18:C18"/>
    <mergeCell ref="A19:A20"/>
    <mergeCell ref="B19:C19"/>
    <mergeCell ref="B20:C20"/>
    <mergeCell ref="B32:C32"/>
    <mergeCell ref="B41:C41"/>
    <mergeCell ref="B16:C16"/>
    <mergeCell ref="A76:C76"/>
    <mergeCell ref="B51:C51"/>
    <mergeCell ref="B60:C60"/>
    <mergeCell ref="B65:C65"/>
    <mergeCell ref="B68:C68"/>
    <mergeCell ref="B69:C69"/>
    <mergeCell ref="B75:C75"/>
    <mergeCell ref="A45:C45"/>
    <mergeCell ref="A46:C46"/>
    <mergeCell ref="A47:C47"/>
    <mergeCell ref="A48:C48"/>
    <mergeCell ref="B70:C70"/>
    <mergeCell ref="A71:C71"/>
    <mergeCell ref="B72:C72"/>
    <mergeCell ref="A73:C73"/>
    <mergeCell ref="B74:C74"/>
    <mergeCell ref="A87:I87"/>
    <mergeCell ref="A88:I88"/>
    <mergeCell ref="B77:C77"/>
    <mergeCell ref="B78:C78"/>
    <mergeCell ref="B79:C79"/>
    <mergeCell ref="B80:C80"/>
    <mergeCell ref="B81:C81"/>
    <mergeCell ref="B82:C82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A2" workbookViewId="0">
      <selection activeCell="O10" sqref="O10"/>
    </sheetView>
  </sheetViews>
  <sheetFormatPr baseColWidth="10" defaultRowHeight="16.5" x14ac:dyDescent="0.3"/>
  <cols>
    <col min="1" max="1" width="8.140625" style="18" customWidth="1"/>
    <col min="2" max="2" width="9.140625" style="18" bestFit="1" customWidth="1"/>
    <col min="3" max="3" width="5.7109375" style="18" bestFit="1" customWidth="1"/>
    <col min="4" max="4" width="0" style="18" hidden="1" customWidth="1"/>
    <col min="5" max="5" width="5.42578125" style="18" customWidth="1"/>
    <col min="6" max="6" width="0.42578125" style="25" customWidth="1"/>
    <col min="7" max="7" width="10.85546875" style="18" bestFit="1" customWidth="1"/>
    <col min="8" max="8" width="12.28515625" style="18" bestFit="1" customWidth="1"/>
    <col min="9" max="12" width="10.85546875" style="18" bestFit="1" customWidth="1"/>
    <col min="13" max="13" width="11.42578125" style="18"/>
    <col min="14" max="14" width="16.42578125" style="18" bestFit="1" customWidth="1"/>
    <col min="15" max="16384" width="11.42578125" style="18"/>
  </cols>
  <sheetData>
    <row r="1" spans="1:12" s="24" customFormat="1" hidden="1" x14ac:dyDescent="0.3">
      <c r="A1" s="23" t="s">
        <v>103</v>
      </c>
      <c r="C1" s="23" t="s">
        <v>123</v>
      </c>
      <c r="E1" s="23" t="s">
        <v>124</v>
      </c>
      <c r="F1" s="24" t="str">
        <f>IF(AND(LEN(E1)&gt;0,LEN(E1)&lt;=2),MID(E1,1,2),MID(E1,1,FIND(".",E1)-1))</f>
        <v>1</v>
      </c>
      <c r="G1" s="24" t="str">
        <f>IF(LEN(E1)&gt;2,MID(E1,FIND(".",E1)+2,2),0)</f>
        <v>16</v>
      </c>
      <c r="H1" s="24" t="str">
        <f>IF(F1="1","Enero",IF(F1="2","Febrero",IF(F1="3","Marzo",IF(F1="4","Abril",IF(F1="5","Mayo",IF(F1="6","Junio",IF(F1="7","Julio",IF(F1="8","Agosto",IF(F1="9","Septiembre",IF(F1="10","Octubre",IF(F1="11","Noviembre","Diciembre")))))))))))</f>
        <v>Enero</v>
      </c>
      <c r="I1" s="24" t="str">
        <f>IF(G1&lt;&gt;0,IF(G1="1","Enero",IF(G1="2","Febrero",IF(G1="3","Marzo",IF(G1="4","Abril",IF(G1="5","Mayo",IF(G1="6","Junio",IF(G1="7","Julio",IF(G1="8","Agosto",IF(G1="9","Septiembre",IF(G1="10","Octubre",IF(G1="11","Noviembre","Diciembre"))))))))))),0)</f>
        <v>Diciembre</v>
      </c>
      <c r="J1" s="24">
        <f>IF(OR(G1="13",G1="14",G1="15",G1="16"),12,G1)</f>
        <v>12</v>
      </c>
    </row>
    <row r="2" spans="1:12" ht="17.25" thickBot="1" x14ac:dyDescent="0.35"/>
    <row r="3" spans="1:12" ht="18" x14ac:dyDescent="0.25">
      <c r="A3" s="317" t="s">
        <v>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9"/>
    </row>
    <row r="4" spans="1:12" ht="15.75" x14ac:dyDescent="0.25">
      <c r="A4" s="320" t="s">
        <v>125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2"/>
    </row>
    <row r="5" spans="1:12" ht="33" customHeight="1" thickBot="1" x14ac:dyDescent="0.25">
      <c r="A5" s="323" t="str">
        <f>IF( G1=0,CONCATENATE(H1," del ",A1),CONCATENATE("Del ",1," de ", H1, " al ",DAY(EOMONTH(DATE(A1,J1,1),0))," de ",I1," del ",A1))</f>
        <v>Del 1 de Enero al 31 de Diciembre del 2017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5"/>
    </row>
    <row r="6" spans="1:12" ht="17.25" hidden="1" thickBot="1" x14ac:dyDescent="0.25">
      <c r="A6" s="326" t="str">
        <f>CONCATENATE("Elaborado el ",MID(C1,1,2), " de ",IF(MID(C1,4,2)="01","Enero",IF(MID(C1,4,2)="02","Febrero",IF(MID(C1,4,2)="03","Marzo",IF(MID(C1,4,2)="04","Abril",IF(MID(C1,4,2)="05","Mayo",IF(MID(C1,4,2)="06","Junio",IF(MID(C1,4,2)="07","Julio",IF(MID(C1,4,2)="08","Agosto",IF(MID(C1,4,2)="09","Septiembre",IF(MID(C1,4,2)="10","Octubre",IF(MID(C1,4,2)="11","Noviembre","Diciembre")))))))))))," del ",MID(C1,7,4))</f>
        <v>Elaborado el 25 de Enero del 2018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8"/>
    </row>
    <row r="7" spans="1:12" ht="13.5" thickBot="1" x14ac:dyDescent="0.25">
      <c r="A7" s="329" t="s">
        <v>126</v>
      </c>
      <c r="B7" s="330"/>
      <c r="C7" s="330"/>
      <c r="D7" s="330"/>
      <c r="E7" s="330"/>
      <c r="F7" s="335" t="s">
        <v>127</v>
      </c>
      <c r="G7" s="338" t="s">
        <v>128</v>
      </c>
      <c r="H7" s="339"/>
      <c r="I7" s="339"/>
      <c r="J7" s="339"/>
      <c r="K7" s="340"/>
      <c r="L7" s="29"/>
    </row>
    <row r="8" spans="1:12" ht="26.25" thickBot="1" x14ac:dyDescent="0.25">
      <c r="A8" s="331"/>
      <c r="B8" s="332"/>
      <c r="C8" s="332"/>
      <c r="D8" s="332"/>
      <c r="E8" s="332"/>
      <c r="F8" s="336"/>
      <c r="G8" s="30" t="s">
        <v>129</v>
      </c>
      <c r="H8" s="31" t="s">
        <v>130</v>
      </c>
      <c r="I8" s="30" t="s">
        <v>1</v>
      </c>
      <c r="J8" s="32" t="s">
        <v>2</v>
      </c>
      <c r="K8" s="30" t="s">
        <v>131</v>
      </c>
      <c r="L8" s="33" t="s">
        <v>132</v>
      </c>
    </row>
    <row r="9" spans="1:12" ht="13.5" thickBot="1" x14ac:dyDescent="0.25">
      <c r="A9" s="333"/>
      <c r="B9" s="334"/>
      <c r="C9" s="334"/>
      <c r="D9" s="334"/>
      <c r="E9" s="334"/>
      <c r="F9" s="337"/>
      <c r="G9" s="26" t="s">
        <v>133</v>
      </c>
      <c r="H9" s="27" t="s">
        <v>134</v>
      </c>
      <c r="I9" s="26" t="s">
        <v>135</v>
      </c>
      <c r="J9" s="27" t="s">
        <v>136</v>
      </c>
      <c r="K9" s="26" t="s">
        <v>137</v>
      </c>
      <c r="L9" s="28" t="s">
        <v>138</v>
      </c>
    </row>
    <row r="10" spans="1:12" ht="13.5" x14ac:dyDescent="0.2">
      <c r="A10" s="34" t="s">
        <v>139</v>
      </c>
      <c r="B10" s="35"/>
      <c r="C10" s="35"/>
      <c r="D10" s="35"/>
      <c r="E10" s="35"/>
      <c r="F10" s="36">
        <v>1</v>
      </c>
      <c r="G10" s="142">
        <v>2884280750</v>
      </c>
      <c r="H10" s="142">
        <v>-64611627</v>
      </c>
      <c r="I10" s="142">
        <v>2819669123</v>
      </c>
      <c r="J10" s="142">
        <v>2819669122</v>
      </c>
      <c r="K10" s="142">
        <v>2819669122</v>
      </c>
      <c r="L10" s="143">
        <v>-64611628</v>
      </c>
    </row>
    <row r="11" spans="1:12" ht="34.5" customHeight="1" x14ac:dyDescent="0.2">
      <c r="A11" s="315" t="s">
        <v>140</v>
      </c>
      <c r="B11" s="316"/>
      <c r="C11" s="316"/>
      <c r="D11" s="316"/>
      <c r="E11" s="316"/>
      <c r="F11" s="36">
        <v>2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3">
        <v>0</v>
      </c>
    </row>
    <row r="12" spans="1:12" ht="13.5" x14ac:dyDescent="0.2">
      <c r="A12" s="34" t="s">
        <v>141</v>
      </c>
      <c r="B12" s="35"/>
      <c r="C12" s="35"/>
      <c r="D12" s="35"/>
      <c r="E12" s="35"/>
      <c r="F12" s="36">
        <v>3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3">
        <v>0</v>
      </c>
    </row>
    <row r="13" spans="1:12" ht="13.5" x14ac:dyDescent="0.2">
      <c r="A13" s="34" t="s">
        <v>142</v>
      </c>
      <c r="B13" s="35"/>
      <c r="C13" s="35"/>
      <c r="D13" s="35"/>
      <c r="E13" s="35"/>
      <c r="F13" s="36">
        <v>4</v>
      </c>
      <c r="G13" s="142">
        <v>1725981511</v>
      </c>
      <c r="H13" s="142">
        <v>-184622588</v>
      </c>
      <c r="I13" s="142">
        <v>1541358923</v>
      </c>
      <c r="J13" s="142">
        <v>1541358924</v>
      </c>
      <c r="K13" s="142">
        <v>1541358924</v>
      </c>
      <c r="L13" s="143">
        <v>-184622587</v>
      </c>
    </row>
    <row r="14" spans="1:12" ht="13.5" x14ac:dyDescent="0.2">
      <c r="A14" s="34" t="s">
        <v>143</v>
      </c>
      <c r="B14" s="35"/>
      <c r="C14" s="35"/>
      <c r="D14" s="35"/>
      <c r="E14" s="35"/>
      <c r="F14" s="36">
        <v>5</v>
      </c>
      <c r="G14" s="142">
        <v>45792731</v>
      </c>
      <c r="H14" s="142">
        <v>79802099</v>
      </c>
      <c r="I14" s="142">
        <v>125594830</v>
      </c>
      <c r="J14" s="142">
        <v>125092290</v>
      </c>
      <c r="K14" s="142">
        <v>125092290</v>
      </c>
      <c r="L14" s="143">
        <v>79299559</v>
      </c>
    </row>
    <row r="15" spans="1:12" ht="13.5" x14ac:dyDescent="0.2">
      <c r="A15" s="34"/>
      <c r="B15" s="35" t="s">
        <v>144</v>
      </c>
      <c r="C15" s="37"/>
      <c r="D15" s="37"/>
      <c r="E15" s="37"/>
      <c r="F15" s="38">
        <v>51</v>
      </c>
      <c r="G15" s="142">
        <v>39003916</v>
      </c>
      <c r="H15" s="142">
        <v>52374613</v>
      </c>
      <c r="I15" s="142">
        <v>91378529</v>
      </c>
      <c r="J15" s="142">
        <v>90875989</v>
      </c>
      <c r="K15" s="142">
        <v>90875989</v>
      </c>
      <c r="L15" s="143">
        <v>51872073</v>
      </c>
    </row>
    <row r="16" spans="1:12" ht="13.5" x14ac:dyDescent="0.2">
      <c r="A16" s="34"/>
      <c r="B16" s="35" t="s">
        <v>145</v>
      </c>
      <c r="C16" s="37"/>
      <c r="D16" s="37"/>
      <c r="E16" s="37"/>
      <c r="F16" s="38">
        <v>52</v>
      </c>
      <c r="G16" s="142">
        <v>6788815</v>
      </c>
      <c r="H16" s="142">
        <v>27427486</v>
      </c>
      <c r="I16" s="142">
        <v>34216301</v>
      </c>
      <c r="J16" s="142">
        <v>34216301</v>
      </c>
      <c r="K16" s="142">
        <v>34216301</v>
      </c>
      <c r="L16" s="143">
        <v>27427486</v>
      </c>
    </row>
    <row r="17" spans="1:14" ht="13.5" x14ac:dyDescent="0.2">
      <c r="A17" s="34" t="s">
        <v>146</v>
      </c>
      <c r="B17" s="35"/>
      <c r="C17" s="35"/>
      <c r="D17" s="35"/>
      <c r="E17" s="35"/>
      <c r="F17" s="36">
        <v>6</v>
      </c>
      <c r="G17" s="142">
        <v>1961829144</v>
      </c>
      <c r="H17" s="142">
        <v>578301534</v>
      </c>
      <c r="I17" s="142">
        <v>2540130678</v>
      </c>
      <c r="J17" s="142">
        <v>2565862380</v>
      </c>
      <c r="K17" s="142">
        <v>2565862380</v>
      </c>
      <c r="L17" s="143">
        <v>604033236</v>
      </c>
    </row>
    <row r="18" spans="1:14" ht="13.5" x14ac:dyDescent="0.2">
      <c r="A18" s="34"/>
      <c r="B18" s="35" t="s">
        <v>144</v>
      </c>
      <c r="C18" s="37"/>
      <c r="D18" s="37"/>
      <c r="E18" s="37"/>
      <c r="F18" s="38">
        <v>61</v>
      </c>
      <c r="G18" s="142">
        <v>1960068474</v>
      </c>
      <c r="H18" s="142">
        <v>578867840</v>
      </c>
      <c r="I18" s="142">
        <v>2538936314</v>
      </c>
      <c r="J18" s="142">
        <v>2564668016</v>
      </c>
      <c r="K18" s="142">
        <v>2564668016</v>
      </c>
      <c r="L18" s="143">
        <v>604599542</v>
      </c>
    </row>
    <row r="19" spans="1:14" ht="13.5" x14ac:dyDescent="0.2">
      <c r="A19" s="34"/>
      <c r="B19" s="35" t="s">
        <v>145</v>
      </c>
      <c r="C19" s="37"/>
      <c r="D19" s="37"/>
      <c r="E19" s="37"/>
      <c r="F19" s="38">
        <v>69</v>
      </c>
      <c r="G19" s="142">
        <v>1760670</v>
      </c>
      <c r="H19" s="142">
        <v>-566306</v>
      </c>
      <c r="I19" s="142">
        <v>1194364</v>
      </c>
      <c r="J19" s="142">
        <v>1194364</v>
      </c>
      <c r="K19" s="142">
        <v>1194364</v>
      </c>
      <c r="L19" s="143">
        <v>-566306</v>
      </c>
    </row>
    <row r="20" spans="1:14" ht="27.75" customHeight="1" x14ac:dyDescent="0.2">
      <c r="A20" s="315" t="s">
        <v>147</v>
      </c>
      <c r="B20" s="316"/>
      <c r="C20" s="316"/>
      <c r="D20" s="316"/>
      <c r="E20" s="316"/>
      <c r="F20" s="36">
        <v>7</v>
      </c>
      <c r="G20" s="142">
        <v>4788853</v>
      </c>
      <c r="H20" s="142">
        <v>-130094</v>
      </c>
      <c r="I20" s="142">
        <v>4658759</v>
      </c>
      <c r="J20" s="142">
        <v>6670370</v>
      </c>
      <c r="K20" s="142">
        <v>6670370</v>
      </c>
      <c r="L20" s="143">
        <v>1881517</v>
      </c>
    </row>
    <row r="21" spans="1:14" ht="13.5" x14ac:dyDescent="0.2">
      <c r="A21" s="34" t="s">
        <v>7</v>
      </c>
      <c r="B21" s="35"/>
      <c r="C21" s="35"/>
      <c r="D21" s="35"/>
      <c r="E21" s="35"/>
      <c r="F21" s="36">
        <v>8</v>
      </c>
      <c r="G21" s="142">
        <v>34974309022</v>
      </c>
      <c r="H21" s="142">
        <v>5177287857</v>
      </c>
      <c r="I21" s="142">
        <v>40151596879</v>
      </c>
      <c r="J21" s="142">
        <v>40158848322</v>
      </c>
      <c r="K21" s="142">
        <v>40158848322</v>
      </c>
      <c r="L21" s="143">
        <v>5184539300</v>
      </c>
    </row>
    <row r="22" spans="1:14" ht="37.5" customHeight="1" x14ac:dyDescent="0.2">
      <c r="A22" s="315" t="s">
        <v>3</v>
      </c>
      <c r="B22" s="316"/>
      <c r="C22" s="316"/>
      <c r="D22" s="316"/>
      <c r="E22" s="316"/>
      <c r="F22" s="36">
        <v>9</v>
      </c>
      <c r="G22" s="142">
        <v>10354897933</v>
      </c>
      <c r="H22" s="142">
        <v>416454564</v>
      </c>
      <c r="I22" s="142">
        <v>10771352497</v>
      </c>
      <c r="J22" s="142">
        <v>11077616123</v>
      </c>
      <c r="K22" s="142">
        <v>11077616123</v>
      </c>
      <c r="L22" s="143">
        <v>722718190</v>
      </c>
    </row>
    <row r="23" spans="1:14" ht="14.25" thickBot="1" x14ac:dyDescent="0.25">
      <c r="A23" s="34" t="s">
        <v>148</v>
      </c>
      <c r="B23" s="35"/>
      <c r="C23" s="35"/>
      <c r="D23" s="35"/>
      <c r="E23" s="35"/>
      <c r="F23" s="36">
        <v>0</v>
      </c>
      <c r="G23" s="142">
        <v>4500000000</v>
      </c>
      <c r="H23" s="142">
        <v>166150842</v>
      </c>
      <c r="I23" s="142">
        <v>4666150842</v>
      </c>
      <c r="J23" s="142">
        <v>6469562765</v>
      </c>
      <c r="K23" s="142">
        <v>6469562765</v>
      </c>
      <c r="L23" s="143">
        <v>1969562765</v>
      </c>
    </row>
    <row r="24" spans="1:14" ht="14.25" thickBot="1" x14ac:dyDescent="0.25">
      <c r="A24" s="308" t="s">
        <v>149</v>
      </c>
      <c r="B24" s="309"/>
      <c r="C24" s="309"/>
      <c r="D24" s="309"/>
      <c r="E24" s="309"/>
      <c r="F24" s="39"/>
      <c r="G24" s="144">
        <v>56451879944</v>
      </c>
      <c r="H24" s="144">
        <v>6168632589</v>
      </c>
      <c r="I24" s="144">
        <v>62620512533</v>
      </c>
      <c r="J24" s="144">
        <v>64764680296</v>
      </c>
      <c r="K24" s="144">
        <v>64764680296</v>
      </c>
      <c r="L24" s="310">
        <v>8312800352</v>
      </c>
      <c r="N24" s="22"/>
    </row>
    <row r="25" spans="1:14" thickBot="1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12" t="s">
        <v>151</v>
      </c>
      <c r="K25" s="313"/>
      <c r="L25" s="311">
        <v>16740769192.1</v>
      </c>
    </row>
    <row r="27" spans="1:14" ht="12.75" x14ac:dyDescent="0.2">
      <c r="A27" s="314" t="s">
        <v>150</v>
      </c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</row>
    <row r="28" spans="1:14" ht="12.75" x14ac:dyDescent="0.2">
      <c r="A28" s="314"/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</row>
    <row r="32" spans="1:14" x14ac:dyDescent="0.3">
      <c r="G32" s="22"/>
      <c r="H32" s="22"/>
      <c r="I32" s="22"/>
      <c r="J32" s="22"/>
      <c r="K32" s="22"/>
      <c r="L32" s="22"/>
    </row>
    <row r="33" spans="7:12" x14ac:dyDescent="0.3">
      <c r="G33" s="22"/>
      <c r="H33" s="22"/>
      <c r="I33" s="22"/>
      <c r="J33" s="22"/>
      <c r="K33" s="22"/>
      <c r="L33" s="22"/>
    </row>
    <row r="34" spans="7:12" x14ac:dyDescent="0.3">
      <c r="G34" s="22"/>
      <c r="H34" s="22"/>
      <c r="I34" s="22"/>
      <c r="J34" s="22"/>
      <c r="K34" s="22"/>
      <c r="L34" s="22"/>
    </row>
    <row r="35" spans="7:12" x14ac:dyDescent="0.3">
      <c r="G35" s="22"/>
      <c r="H35" s="22"/>
      <c r="I35" s="22"/>
      <c r="J35" s="22"/>
      <c r="K35" s="22"/>
      <c r="L35" s="22"/>
    </row>
    <row r="36" spans="7:12" x14ac:dyDescent="0.3">
      <c r="G36" s="22"/>
      <c r="H36" s="22"/>
      <c r="I36" s="22"/>
      <c r="J36" s="22"/>
      <c r="K36" s="22"/>
      <c r="L36" s="22"/>
    </row>
    <row r="37" spans="7:12" x14ac:dyDescent="0.3">
      <c r="G37" s="22"/>
      <c r="H37" s="22"/>
      <c r="I37" s="22"/>
      <c r="J37" s="22"/>
      <c r="K37" s="22"/>
      <c r="L37" s="22"/>
    </row>
    <row r="38" spans="7:12" x14ac:dyDescent="0.3">
      <c r="G38" s="22"/>
      <c r="H38" s="22"/>
      <c r="I38" s="22"/>
      <c r="J38" s="22"/>
      <c r="K38" s="22"/>
      <c r="L38" s="22"/>
    </row>
    <row r="39" spans="7:12" x14ac:dyDescent="0.3">
      <c r="G39" s="22"/>
      <c r="H39" s="22"/>
      <c r="I39" s="22"/>
      <c r="J39" s="22"/>
      <c r="K39" s="22"/>
      <c r="L39" s="22"/>
    </row>
    <row r="40" spans="7:12" x14ac:dyDescent="0.3">
      <c r="G40" s="22"/>
      <c r="H40" s="22"/>
      <c r="I40" s="22"/>
      <c r="J40" s="22"/>
      <c r="K40" s="22"/>
      <c r="L40" s="22"/>
    </row>
    <row r="41" spans="7:12" x14ac:dyDescent="0.3">
      <c r="G41" s="22"/>
      <c r="H41" s="22"/>
      <c r="I41" s="22"/>
      <c r="J41" s="22"/>
      <c r="K41" s="22"/>
      <c r="L41" s="22"/>
    </row>
    <row r="42" spans="7:12" x14ac:dyDescent="0.3">
      <c r="G42" s="22"/>
      <c r="H42" s="22"/>
      <c r="I42" s="22"/>
      <c r="J42" s="22"/>
      <c r="K42" s="22"/>
      <c r="L42" s="22"/>
    </row>
    <row r="43" spans="7:12" x14ac:dyDescent="0.3">
      <c r="G43" s="22"/>
      <c r="H43" s="22"/>
      <c r="I43" s="22"/>
      <c r="J43" s="22"/>
      <c r="K43" s="22"/>
      <c r="L43" s="22"/>
    </row>
    <row r="44" spans="7:12" x14ac:dyDescent="0.3">
      <c r="G44" s="22"/>
      <c r="H44" s="22"/>
      <c r="I44" s="22"/>
      <c r="J44" s="22"/>
      <c r="K44" s="22"/>
      <c r="L44" s="22"/>
    </row>
    <row r="45" spans="7:12" x14ac:dyDescent="0.3">
      <c r="G45" s="22"/>
      <c r="H45" s="22"/>
      <c r="I45" s="22"/>
      <c r="J45" s="22"/>
      <c r="K45" s="22"/>
      <c r="L45" s="22"/>
    </row>
    <row r="46" spans="7:12" x14ac:dyDescent="0.3">
      <c r="G46" s="22"/>
      <c r="H46" s="22"/>
      <c r="I46" s="22"/>
      <c r="J46" s="22"/>
      <c r="K46" s="22"/>
      <c r="L46" s="22"/>
    </row>
    <row r="47" spans="7:12" x14ac:dyDescent="0.3">
      <c r="G47" s="22"/>
      <c r="H47" s="22"/>
      <c r="I47" s="22"/>
      <c r="J47" s="22"/>
      <c r="K47" s="22"/>
      <c r="L47" s="22"/>
    </row>
  </sheetData>
  <mergeCells count="14">
    <mergeCell ref="A11:E11"/>
    <mergeCell ref="A20:E20"/>
    <mergeCell ref="A3:L3"/>
    <mergeCell ref="A4:L4"/>
    <mergeCell ref="A5:L5"/>
    <mergeCell ref="A6:L6"/>
    <mergeCell ref="A7:E9"/>
    <mergeCell ref="F7:F9"/>
    <mergeCell ref="G7:K7"/>
    <mergeCell ref="A24:E24"/>
    <mergeCell ref="L24:L25"/>
    <mergeCell ref="J25:K25"/>
    <mergeCell ref="A27:L28"/>
    <mergeCell ref="A22:E22"/>
  </mergeCells>
  <pageMargins left="0.7" right="0.7" top="0.75" bottom="0.75" header="0.3" footer="0.3"/>
  <pageSetup paperSize="128" scale="96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topLeftCell="A2" workbookViewId="0">
      <selection activeCell="I9" sqref="I8:I9"/>
    </sheetView>
  </sheetViews>
  <sheetFormatPr baseColWidth="10" defaultRowHeight="16.5" x14ac:dyDescent="0.3"/>
  <cols>
    <col min="1" max="1" width="2.42578125" style="40" customWidth="1"/>
    <col min="2" max="2" width="3" style="40" customWidth="1"/>
    <col min="3" max="3" width="2.140625" style="40" customWidth="1"/>
    <col min="4" max="4" width="16.85546875" style="40" customWidth="1"/>
    <col min="5" max="5" width="8.140625" style="40" customWidth="1"/>
    <col min="6" max="6" width="1" style="25" customWidth="1"/>
    <col min="7" max="7" width="10.85546875" style="40" bestFit="1" customWidth="1"/>
    <col min="8" max="8" width="11.140625" style="40" bestFit="1" customWidth="1"/>
    <col min="9" max="11" width="10.85546875" style="40" bestFit="1" customWidth="1"/>
    <col min="12" max="12" width="10.5703125" style="40" bestFit="1" customWidth="1"/>
    <col min="13" max="16384" width="11.42578125" style="40"/>
  </cols>
  <sheetData>
    <row r="1" spans="1:12" s="24" customFormat="1" ht="17.25" hidden="1" customHeight="1" x14ac:dyDescent="0.3">
      <c r="A1" s="23" t="s">
        <v>103</v>
      </c>
      <c r="B1" s="23"/>
      <c r="C1" s="23" t="s">
        <v>152</v>
      </c>
      <c r="E1" s="23" t="s">
        <v>124</v>
      </c>
      <c r="F1" s="24" t="str">
        <f>IF(AND(LEN(E1)&gt;0,LEN(E1)&lt;=2),MID(E1,1,2),MID(E1,1,FIND(".",E1)-1))</f>
        <v>1</v>
      </c>
      <c r="G1" s="24" t="str">
        <f>IF(LEN(E1)&gt;2,MID(E1,FIND(".",E1)+2,2),0)</f>
        <v>16</v>
      </c>
      <c r="H1" s="24" t="str">
        <f>IF(F1="1","Enero",IF(F1="2","Febrero",IF(F1="3","Marzo",IF(F1="4","Abril",IF(F1="5","Mayo",IF(F1="6","Junio",IF(F1="7","Julio",IF(F1="8","Agosto",IF(F1="9","Septiembre",IF(F1="10","Octubre",IF(F1="11","Noviembre","Diciembre")))))))))))</f>
        <v>Enero</v>
      </c>
      <c r="I1" s="24" t="str">
        <f>IF(G1&lt;&gt;0,IF(G1="1","Enero",IF(G1="2","Febrero",IF(G1="3","Marzo",IF(G1="4","Abril",IF(G1="5","Mayo",IF(G1="6","Junio",IF(G1="7","Julio",IF(G1="8","Agosto",IF(G1="9","Septiembre",IF(G1="10","Octubre",IF(G1="11","Noviembre","Diciembre"))))))))))),0)</f>
        <v>Diciembre</v>
      </c>
      <c r="J1" s="24">
        <f>IF(OR(G1="13",G1="14",G1="15",G1="16"),12,G1)</f>
        <v>12</v>
      </c>
    </row>
    <row r="2" spans="1:12" ht="17.25" thickBot="1" x14ac:dyDescent="0.35"/>
    <row r="3" spans="1:12" ht="18.75" x14ac:dyDescent="0.3">
      <c r="A3" s="317" t="s">
        <v>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9"/>
    </row>
    <row r="4" spans="1:12" x14ac:dyDescent="0.3">
      <c r="A4" s="320" t="s">
        <v>153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2"/>
    </row>
    <row r="5" spans="1:12" ht="27" customHeight="1" thickBot="1" x14ac:dyDescent="0.35">
      <c r="A5" s="323" t="str">
        <f>IF( G1=0,CONCATENATE(H1," del ",A1),CONCATENATE("Del ",1," de ", H1, " al ",DAY(EOMONTH(DATE(A1,J1,1),0))," de ",I1," del ",A1))</f>
        <v>Del 1 de Enero al 31 de Diciembre del 2017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5"/>
    </row>
    <row r="6" spans="1:12" ht="17.25" hidden="1" thickBot="1" x14ac:dyDescent="0.35">
      <c r="A6" s="326" t="str">
        <f>CONCATENATE("Elaborado el ",MID(C1,1,2), " de ",IF(MID(C1,4,2)="01","Enero",IF(MID(C1,4,2)="02","Febrero",IF(MID(C1,4,2)="03","Marzo",IF(MID(C1,4,2)="04","Abril",IF(MID(C1,4,2)="05","Mayo",IF(MID(C1,4,2)="06","Junio",IF(MID(C1,4,2)="07","Julio",IF(MID(C1,4,2)="08","Agosto",IF(MID(C1,4,2)="09","Septiembre",IF(MID(C1,4,2)="10","Octubre",IF(MID(C1,4,2)="11","Noviembre","Diciembre")))))))))))," del ",MID(C1,7,4))</f>
        <v>Elaborado el 30 de Enero del 2018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8"/>
    </row>
    <row r="7" spans="1:12" ht="17.25" thickBot="1" x14ac:dyDescent="0.35">
      <c r="A7" s="346" t="s">
        <v>126</v>
      </c>
      <c r="B7" s="347"/>
      <c r="C7" s="347"/>
      <c r="D7" s="347"/>
      <c r="E7" s="347"/>
      <c r="F7" s="352" t="s">
        <v>127</v>
      </c>
      <c r="G7" s="341" t="s">
        <v>128</v>
      </c>
      <c r="H7" s="342"/>
      <c r="I7" s="342"/>
      <c r="J7" s="342"/>
      <c r="K7" s="343"/>
      <c r="L7" s="42"/>
    </row>
    <row r="8" spans="1:12" ht="27.75" thickBot="1" x14ac:dyDescent="0.35">
      <c r="A8" s="348"/>
      <c r="B8" s="349"/>
      <c r="C8" s="349"/>
      <c r="D8" s="349"/>
      <c r="E8" s="349"/>
      <c r="F8" s="353"/>
      <c r="G8" s="43" t="s">
        <v>129</v>
      </c>
      <c r="H8" s="44" t="s">
        <v>130</v>
      </c>
      <c r="I8" s="43" t="s">
        <v>1</v>
      </c>
      <c r="J8" s="45" t="s">
        <v>2</v>
      </c>
      <c r="K8" s="43" t="s">
        <v>131</v>
      </c>
      <c r="L8" s="46" t="s">
        <v>132</v>
      </c>
    </row>
    <row r="9" spans="1:12" ht="17.25" thickBot="1" x14ac:dyDescent="0.35">
      <c r="A9" s="350"/>
      <c r="B9" s="351"/>
      <c r="C9" s="351"/>
      <c r="D9" s="351"/>
      <c r="E9" s="351"/>
      <c r="F9" s="354"/>
      <c r="G9" s="47" t="s">
        <v>133</v>
      </c>
      <c r="H9" s="48" t="s">
        <v>134</v>
      </c>
      <c r="I9" s="47" t="s">
        <v>135</v>
      </c>
      <c r="J9" s="48" t="s">
        <v>136</v>
      </c>
      <c r="K9" s="47" t="s">
        <v>137</v>
      </c>
      <c r="L9" s="49" t="s">
        <v>138</v>
      </c>
    </row>
    <row r="10" spans="1:12" x14ac:dyDescent="0.3">
      <c r="A10" s="53" t="s">
        <v>154</v>
      </c>
      <c r="B10" s="54"/>
      <c r="C10" s="54"/>
      <c r="D10" s="54"/>
      <c r="E10" s="54"/>
      <c r="F10" s="55"/>
      <c r="G10" s="51"/>
      <c r="H10" s="51"/>
      <c r="I10" s="51"/>
      <c r="J10" s="51"/>
      <c r="K10" s="51"/>
      <c r="L10" s="52"/>
    </row>
    <row r="11" spans="1:12" x14ac:dyDescent="0.3">
      <c r="A11" s="19"/>
      <c r="B11" s="50" t="s">
        <v>139</v>
      </c>
      <c r="C11" s="50"/>
      <c r="D11" s="50"/>
      <c r="E11" s="50"/>
      <c r="F11" s="20">
        <v>1</v>
      </c>
      <c r="G11" s="145">
        <v>2884280750</v>
      </c>
      <c r="H11" s="145">
        <v>-64611627</v>
      </c>
      <c r="I11" s="145">
        <v>2819669123</v>
      </c>
      <c r="J11" s="145">
        <v>2819669122</v>
      </c>
      <c r="K11" s="145">
        <v>2819669122</v>
      </c>
      <c r="L11" s="145">
        <v>-64611628</v>
      </c>
    </row>
    <row r="12" spans="1:12" x14ac:dyDescent="0.3">
      <c r="A12" s="19"/>
      <c r="B12" s="50"/>
      <c r="C12" s="50"/>
      <c r="D12" s="57" t="s">
        <v>155</v>
      </c>
      <c r="E12" s="50"/>
      <c r="F12" s="20"/>
      <c r="G12" s="145">
        <v>2884280750</v>
      </c>
      <c r="H12" s="145">
        <v>-64611627</v>
      </c>
      <c r="I12" s="145">
        <v>2819669123</v>
      </c>
      <c r="J12" s="145">
        <v>2819669122</v>
      </c>
      <c r="K12" s="145">
        <v>2819669122</v>
      </c>
      <c r="L12" s="145">
        <v>-64611628</v>
      </c>
    </row>
    <row r="13" spans="1:12" x14ac:dyDescent="0.3">
      <c r="A13" s="19"/>
      <c r="B13" s="50" t="s">
        <v>141</v>
      </c>
      <c r="C13" s="50"/>
      <c r="D13" s="50"/>
      <c r="E13" s="50"/>
      <c r="F13" s="20">
        <v>3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6">
        <v>0</v>
      </c>
    </row>
    <row r="14" spans="1:12" x14ac:dyDescent="0.3">
      <c r="A14" s="19"/>
      <c r="B14" s="50" t="s">
        <v>142</v>
      </c>
      <c r="C14" s="50"/>
      <c r="D14" s="50"/>
      <c r="E14" s="50"/>
      <c r="F14" s="20">
        <v>4</v>
      </c>
      <c r="G14" s="145">
        <v>1725981511</v>
      </c>
      <c r="H14" s="145">
        <v>-184622588</v>
      </c>
      <c r="I14" s="145">
        <v>1541358923</v>
      </c>
      <c r="J14" s="145">
        <v>1541358924</v>
      </c>
      <c r="K14" s="145">
        <v>1541358924</v>
      </c>
      <c r="L14" s="145">
        <v>-184622587</v>
      </c>
    </row>
    <row r="15" spans="1:12" x14ac:dyDescent="0.3">
      <c r="A15" s="19"/>
      <c r="B15" s="50"/>
      <c r="C15" s="50"/>
      <c r="D15" s="57" t="s">
        <v>155</v>
      </c>
      <c r="E15" s="50"/>
      <c r="F15" s="20"/>
      <c r="G15" s="145">
        <v>1725981511</v>
      </c>
      <c r="H15" s="145">
        <v>-184622888</v>
      </c>
      <c r="I15" s="145">
        <v>1541358623</v>
      </c>
      <c r="J15" s="145">
        <v>1541358624</v>
      </c>
      <c r="K15" s="145">
        <v>1541358624</v>
      </c>
      <c r="L15" s="145">
        <v>-184622887</v>
      </c>
    </row>
    <row r="16" spans="1:12" x14ac:dyDescent="0.3">
      <c r="A16" s="19"/>
      <c r="B16" s="50"/>
      <c r="C16" s="50"/>
      <c r="D16" s="57" t="s">
        <v>156</v>
      </c>
      <c r="E16" s="50"/>
      <c r="F16" s="20"/>
      <c r="G16" s="145">
        <v>0</v>
      </c>
      <c r="H16" s="145">
        <v>300</v>
      </c>
      <c r="I16" s="145">
        <v>300</v>
      </c>
      <c r="J16" s="145">
        <v>300</v>
      </c>
      <c r="K16" s="145">
        <v>300</v>
      </c>
      <c r="L16" s="145">
        <v>300</v>
      </c>
    </row>
    <row r="17" spans="1:12" x14ac:dyDescent="0.3">
      <c r="A17" s="19"/>
      <c r="B17" s="50"/>
      <c r="C17" s="50"/>
      <c r="D17" s="57" t="s">
        <v>157</v>
      </c>
      <c r="E17" s="50"/>
      <c r="F17" s="20"/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</row>
    <row r="18" spans="1:12" x14ac:dyDescent="0.3">
      <c r="A18" s="19"/>
      <c r="B18" s="50" t="s">
        <v>143</v>
      </c>
      <c r="C18" s="50"/>
      <c r="D18" s="50"/>
      <c r="E18" s="50"/>
      <c r="F18" s="20">
        <v>5</v>
      </c>
      <c r="G18" s="145">
        <v>45792731</v>
      </c>
      <c r="H18" s="145">
        <v>79802099</v>
      </c>
      <c r="I18" s="145">
        <v>125594830</v>
      </c>
      <c r="J18" s="145">
        <v>125092290</v>
      </c>
      <c r="K18" s="145">
        <v>125092290</v>
      </c>
      <c r="L18" s="145">
        <v>79299559</v>
      </c>
    </row>
    <row r="19" spans="1:12" x14ac:dyDescent="0.3">
      <c r="A19" s="19"/>
      <c r="B19" s="50"/>
      <c r="C19" s="50" t="s">
        <v>144</v>
      </c>
      <c r="D19" s="50"/>
      <c r="E19" s="50"/>
      <c r="F19" s="20">
        <v>51</v>
      </c>
      <c r="G19" s="145">
        <v>39003916</v>
      </c>
      <c r="H19" s="145">
        <v>52374613</v>
      </c>
      <c r="I19" s="145">
        <v>91378529</v>
      </c>
      <c r="J19" s="145">
        <v>90875989</v>
      </c>
      <c r="K19" s="145">
        <v>90875989</v>
      </c>
      <c r="L19" s="145">
        <v>51872073</v>
      </c>
    </row>
    <row r="20" spans="1:12" x14ac:dyDescent="0.3">
      <c r="A20" s="19"/>
      <c r="B20" s="50"/>
      <c r="C20" s="50"/>
      <c r="D20" s="57" t="s">
        <v>155</v>
      </c>
      <c r="E20" s="50"/>
      <c r="F20" s="20"/>
      <c r="G20" s="145">
        <v>22337308</v>
      </c>
      <c r="H20" s="145">
        <v>26874192</v>
      </c>
      <c r="I20" s="145">
        <v>49211500</v>
      </c>
      <c r="J20" s="145">
        <v>49211552</v>
      </c>
      <c r="K20" s="145">
        <v>49211552</v>
      </c>
      <c r="L20" s="145">
        <v>26874244</v>
      </c>
    </row>
    <row r="21" spans="1:12" x14ac:dyDescent="0.3">
      <c r="A21" s="19"/>
      <c r="B21" s="50"/>
      <c r="C21" s="50"/>
      <c r="D21" s="57" t="s">
        <v>158</v>
      </c>
      <c r="E21" s="50"/>
      <c r="F21" s="20"/>
      <c r="G21" s="145">
        <v>16550884</v>
      </c>
      <c r="H21" s="145">
        <v>1015929</v>
      </c>
      <c r="I21" s="145">
        <v>17566813</v>
      </c>
      <c r="J21" s="145">
        <v>17064221</v>
      </c>
      <c r="K21" s="145">
        <v>17064221</v>
      </c>
      <c r="L21" s="145">
        <v>513337</v>
      </c>
    </row>
    <row r="22" spans="1:12" x14ac:dyDescent="0.3">
      <c r="A22" s="19"/>
      <c r="B22" s="50"/>
      <c r="C22" s="50"/>
      <c r="D22" s="57" t="s">
        <v>159</v>
      </c>
      <c r="E22" s="50"/>
      <c r="F22" s="20"/>
      <c r="G22" s="145">
        <v>0</v>
      </c>
      <c r="H22" s="145">
        <v>385208</v>
      </c>
      <c r="I22" s="145">
        <v>385208</v>
      </c>
      <c r="J22" s="145">
        <v>385208</v>
      </c>
      <c r="K22" s="145">
        <v>385208</v>
      </c>
      <c r="L22" s="145">
        <v>385208</v>
      </c>
    </row>
    <row r="23" spans="1:12" x14ac:dyDescent="0.3">
      <c r="A23" s="19"/>
      <c r="B23" s="50"/>
      <c r="C23" s="50"/>
      <c r="D23" s="57" t="s">
        <v>157</v>
      </c>
      <c r="E23" s="50"/>
      <c r="F23" s="20"/>
      <c r="G23" s="145">
        <v>283</v>
      </c>
      <c r="H23" s="145">
        <v>24180065</v>
      </c>
      <c r="I23" s="145">
        <v>24180348</v>
      </c>
      <c r="J23" s="145">
        <v>24180348</v>
      </c>
      <c r="K23" s="145">
        <v>24180348</v>
      </c>
      <c r="L23" s="145">
        <v>24180065</v>
      </c>
    </row>
    <row r="24" spans="1:12" x14ac:dyDescent="0.3">
      <c r="A24" s="19"/>
      <c r="B24" s="50"/>
      <c r="C24" s="50"/>
      <c r="D24" s="57" t="s">
        <v>160</v>
      </c>
      <c r="E24" s="50"/>
      <c r="F24" s="20"/>
      <c r="G24" s="145">
        <v>104291</v>
      </c>
      <c r="H24" s="145">
        <v>-79996</v>
      </c>
      <c r="I24" s="145">
        <v>24295</v>
      </c>
      <c r="J24" s="145">
        <v>24295</v>
      </c>
      <c r="K24" s="145">
        <v>24295</v>
      </c>
      <c r="L24" s="145">
        <v>-79996</v>
      </c>
    </row>
    <row r="25" spans="1:12" x14ac:dyDescent="0.3">
      <c r="A25" s="19"/>
      <c r="B25" s="50"/>
      <c r="C25" s="50"/>
      <c r="D25" s="57" t="s">
        <v>161</v>
      </c>
      <c r="E25" s="50"/>
      <c r="F25" s="20"/>
      <c r="G25" s="145">
        <v>11150</v>
      </c>
      <c r="H25" s="145">
        <v>-785</v>
      </c>
      <c r="I25" s="145">
        <v>10365</v>
      </c>
      <c r="J25" s="145">
        <v>10366</v>
      </c>
      <c r="K25" s="145">
        <v>10366</v>
      </c>
      <c r="L25" s="145">
        <v>-784</v>
      </c>
    </row>
    <row r="26" spans="1:12" x14ac:dyDescent="0.3">
      <c r="A26" s="19"/>
      <c r="B26" s="50"/>
      <c r="C26" s="50" t="s">
        <v>145</v>
      </c>
      <c r="D26" s="50"/>
      <c r="E26" s="50"/>
      <c r="F26" s="20">
        <v>52</v>
      </c>
      <c r="G26" s="145">
        <v>6788815</v>
      </c>
      <c r="H26" s="145">
        <v>27427486</v>
      </c>
      <c r="I26" s="145">
        <v>34216301</v>
      </c>
      <c r="J26" s="145">
        <v>34216301</v>
      </c>
      <c r="K26" s="145">
        <v>34216301</v>
      </c>
      <c r="L26" s="145">
        <v>27427486</v>
      </c>
    </row>
    <row r="27" spans="1:12" x14ac:dyDescent="0.3">
      <c r="A27" s="19"/>
      <c r="B27" s="50"/>
      <c r="C27" s="50"/>
      <c r="D27" s="57" t="s">
        <v>155</v>
      </c>
      <c r="E27" s="50"/>
      <c r="F27" s="20"/>
      <c r="G27" s="145">
        <v>6788815</v>
      </c>
      <c r="H27" s="145">
        <v>27427486</v>
      </c>
      <c r="I27" s="145">
        <v>34216301</v>
      </c>
      <c r="J27" s="145">
        <v>34216301</v>
      </c>
      <c r="K27" s="145">
        <v>34216301</v>
      </c>
      <c r="L27" s="145">
        <v>27427486</v>
      </c>
    </row>
    <row r="28" spans="1:12" x14ac:dyDescent="0.3">
      <c r="A28" s="19"/>
      <c r="B28" s="50" t="s">
        <v>146</v>
      </c>
      <c r="C28" s="50"/>
      <c r="D28" s="50"/>
      <c r="E28" s="50"/>
      <c r="F28" s="20">
        <v>6</v>
      </c>
      <c r="G28" s="145">
        <v>1961829144</v>
      </c>
      <c r="H28" s="145">
        <v>578301534</v>
      </c>
      <c r="I28" s="145">
        <v>2540130678</v>
      </c>
      <c r="J28" s="145">
        <v>2565862380</v>
      </c>
      <c r="K28" s="145">
        <v>2565862380</v>
      </c>
      <c r="L28" s="145">
        <v>604033236</v>
      </c>
    </row>
    <row r="29" spans="1:12" x14ac:dyDescent="0.3">
      <c r="A29" s="19"/>
      <c r="B29" s="50"/>
      <c r="C29" s="50" t="s">
        <v>144</v>
      </c>
      <c r="D29" s="50"/>
      <c r="E29" s="50"/>
      <c r="F29" s="20">
        <v>61</v>
      </c>
      <c r="G29" s="145">
        <v>1960068474</v>
      </c>
      <c r="H29" s="145">
        <v>578867840</v>
      </c>
      <c r="I29" s="145">
        <v>2538936314</v>
      </c>
      <c r="J29" s="145">
        <v>2564668016</v>
      </c>
      <c r="K29" s="145">
        <v>2564668016</v>
      </c>
      <c r="L29" s="145">
        <v>604599542</v>
      </c>
    </row>
    <row r="30" spans="1:12" x14ac:dyDescent="0.3">
      <c r="A30" s="19"/>
      <c r="B30" s="50"/>
      <c r="C30" s="50"/>
      <c r="D30" s="57" t="s">
        <v>155</v>
      </c>
      <c r="E30" s="50"/>
      <c r="F30" s="20"/>
      <c r="G30" s="145">
        <v>1929859665</v>
      </c>
      <c r="H30" s="145">
        <v>588857466</v>
      </c>
      <c r="I30" s="145">
        <v>2518717131</v>
      </c>
      <c r="J30" s="145">
        <v>2544387722</v>
      </c>
      <c r="K30" s="145">
        <v>2544387722</v>
      </c>
      <c r="L30" s="145">
        <v>614528057</v>
      </c>
    </row>
    <row r="31" spans="1:12" x14ac:dyDescent="0.3">
      <c r="A31" s="19"/>
      <c r="B31" s="50"/>
      <c r="C31" s="50"/>
      <c r="D31" s="57" t="s">
        <v>158</v>
      </c>
      <c r="E31" s="50"/>
      <c r="F31" s="20"/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</row>
    <row r="32" spans="1:12" x14ac:dyDescent="0.3">
      <c r="A32" s="19"/>
      <c r="B32" s="50"/>
      <c r="C32" s="50"/>
      <c r="D32" s="57" t="s">
        <v>157</v>
      </c>
      <c r="E32" s="50"/>
      <c r="F32" s="20"/>
      <c r="G32" s="145">
        <v>30208809</v>
      </c>
      <c r="H32" s="145">
        <v>-9989626</v>
      </c>
      <c r="I32" s="145">
        <v>20219183</v>
      </c>
      <c r="J32" s="145">
        <v>20280294</v>
      </c>
      <c r="K32" s="145">
        <v>20280294</v>
      </c>
      <c r="L32" s="145">
        <v>-9928515</v>
      </c>
    </row>
    <row r="33" spans="1:12" x14ac:dyDescent="0.3">
      <c r="A33" s="19"/>
      <c r="B33" s="50"/>
      <c r="C33" s="50" t="s">
        <v>145</v>
      </c>
      <c r="D33" s="50"/>
      <c r="E33" s="50"/>
      <c r="F33" s="20">
        <v>69</v>
      </c>
      <c r="G33" s="145">
        <v>1760670</v>
      </c>
      <c r="H33" s="145">
        <v>-566306</v>
      </c>
      <c r="I33" s="145">
        <v>1194364</v>
      </c>
      <c r="J33" s="145">
        <v>1194364</v>
      </c>
      <c r="K33" s="145">
        <v>1194364</v>
      </c>
      <c r="L33" s="145">
        <v>-566306</v>
      </c>
    </row>
    <row r="34" spans="1:12" x14ac:dyDescent="0.3">
      <c r="A34" s="19"/>
      <c r="B34" s="50"/>
      <c r="C34" s="50"/>
      <c r="D34" s="57" t="s">
        <v>155</v>
      </c>
      <c r="E34" s="50"/>
      <c r="F34" s="20"/>
      <c r="G34" s="145">
        <v>1760670</v>
      </c>
      <c r="H34" s="145">
        <v>-566306</v>
      </c>
      <c r="I34" s="145">
        <v>1194364</v>
      </c>
      <c r="J34" s="145">
        <v>1194364</v>
      </c>
      <c r="K34" s="145">
        <v>1194364</v>
      </c>
      <c r="L34" s="145">
        <v>-566306</v>
      </c>
    </row>
    <row r="35" spans="1:12" x14ac:dyDescent="0.3">
      <c r="A35" s="19"/>
      <c r="B35" s="50" t="s">
        <v>7</v>
      </c>
      <c r="C35" s="50"/>
      <c r="D35" s="50"/>
      <c r="E35" s="50"/>
      <c r="F35" s="20">
        <v>8</v>
      </c>
      <c r="G35" s="145">
        <v>34974309022</v>
      </c>
      <c r="H35" s="145">
        <v>5177287857</v>
      </c>
      <c r="I35" s="145">
        <v>40151596879</v>
      </c>
      <c r="J35" s="145">
        <v>40158848322</v>
      </c>
      <c r="K35" s="145">
        <v>40158848322</v>
      </c>
      <c r="L35" s="145">
        <v>5184539300</v>
      </c>
    </row>
    <row r="36" spans="1:12" x14ac:dyDescent="0.3">
      <c r="A36" s="19"/>
      <c r="B36" s="50"/>
      <c r="C36" s="50"/>
      <c r="D36" s="57" t="s">
        <v>155</v>
      </c>
      <c r="E36" s="50"/>
      <c r="F36" s="20"/>
      <c r="G36" s="145">
        <v>5131973464</v>
      </c>
      <c r="H36" s="145">
        <v>-701186930</v>
      </c>
      <c r="I36" s="145">
        <v>4430786534</v>
      </c>
      <c r="J36" s="145">
        <v>4254272136</v>
      </c>
      <c r="K36" s="145">
        <v>4254272136</v>
      </c>
      <c r="L36" s="145">
        <v>-877701328</v>
      </c>
    </row>
    <row r="37" spans="1:12" x14ac:dyDescent="0.3">
      <c r="A37" s="19"/>
      <c r="B37" s="50"/>
      <c r="C37" s="50"/>
      <c r="D37" s="57" t="s">
        <v>158</v>
      </c>
      <c r="E37" s="50"/>
      <c r="F37" s="20"/>
      <c r="G37" s="145">
        <v>8092269370</v>
      </c>
      <c r="H37" s="145">
        <v>-2374582486</v>
      </c>
      <c r="I37" s="145">
        <v>5717686884</v>
      </c>
      <c r="J37" s="145">
        <v>5717686884</v>
      </c>
      <c r="K37" s="145">
        <v>5717686884</v>
      </c>
      <c r="L37" s="145">
        <v>-2374582486</v>
      </c>
    </row>
    <row r="38" spans="1:12" x14ac:dyDescent="0.3">
      <c r="A38" s="19"/>
      <c r="B38" s="50"/>
      <c r="C38" s="50"/>
      <c r="D38" s="57" t="s">
        <v>159</v>
      </c>
      <c r="E38" s="50"/>
      <c r="F38" s="20"/>
      <c r="G38" s="145">
        <v>0</v>
      </c>
      <c r="H38" s="145">
        <v>10</v>
      </c>
      <c r="I38" s="145">
        <v>10</v>
      </c>
      <c r="J38" s="145">
        <v>10</v>
      </c>
      <c r="K38" s="145">
        <v>10</v>
      </c>
      <c r="L38" s="145">
        <v>10</v>
      </c>
    </row>
    <row r="39" spans="1:12" x14ac:dyDescent="0.3">
      <c r="A39" s="19"/>
      <c r="B39" s="50"/>
      <c r="C39" s="50"/>
      <c r="D39" s="57" t="s">
        <v>157</v>
      </c>
      <c r="E39" s="50"/>
      <c r="F39" s="20"/>
      <c r="G39" s="145">
        <v>20941480836</v>
      </c>
      <c r="H39" s="145">
        <v>8016119820</v>
      </c>
      <c r="I39" s="145">
        <v>28957600656</v>
      </c>
      <c r="J39" s="145">
        <v>29141366497</v>
      </c>
      <c r="K39" s="145">
        <v>29141366497</v>
      </c>
      <c r="L39" s="145">
        <v>8199885661</v>
      </c>
    </row>
    <row r="40" spans="1:12" x14ac:dyDescent="0.3">
      <c r="A40" s="19"/>
      <c r="B40" s="50"/>
      <c r="C40" s="50"/>
      <c r="D40" s="57" t="s">
        <v>160</v>
      </c>
      <c r="E40" s="50"/>
      <c r="F40" s="20"/>
      <c r="G40" s="145">
        <v>808585352</v>
      </c>
      <c r="H40" s="145">
        <v>236937443</v>
      </c>
      <c r="I40" s="145">
        <v>1045522795</v>
      </c>
      <c r="J40" s="145">
        <v>1045522795</v>
      </c>
      <c r="K40" s="145">
        <v>1045522795</v>
      </c>
      <c r="L40" s="145">
        <v>236937443</v>
      </c>
    </row>
    <row r="41" spans="1:12" x14ac:dyDescent="0.3">
      <c r="A41" s="19"/>
      <c r="B41" s="50"/>
      <c r="C41" s="50"/>
      <c r="D41" s="57" t="s">
        <v>161</v>
      </c>
      <c r="E41" s="50"/>
      <c r="F41" s="20"/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</row>
    <row r="42" spans="1:12" ht="27.75" customHeight="1" x14ac:dyDescent="0.3">
      <c r="A42" s="19"/>
      <c r="B42" s="345" t="s">
        <v>3</v>
      </c>
      <c r="C42" s="345"/>
      <c r="D42" s="345"/>
      <c r="E42" s="345"/>
      <c r="F42" s="20">
        <v>9</v>
      </c>
      <c r="G42" s="145">
        <v>3168127067</v>
      </c>
      <c r="H42" s="145">
        <v>-9562043</v>
      </c>
      <c r="I42" s="145">
        <v>3158565024</v>
      </c>
      <c r="J42" s="145">
        <v>3464828650</v>
      </c>
      <c r="K42" s="145">
        <v>3464828650</v>
      </c>
      <c r="L42" s="145">
        <v>296701583</v>
      </c>
    </row>
    <row r="43" spans="1:12" x14ac:dyDescent="0.3">
      <c r="A43" s="19"/>
      <c r="B43" s="50"/>
      <c r="C43" s="50"/>
      <c r="D43" s="57" t="s">
        <v>155</v>
      </c>
      <c r="E43" s="50"/>
      <c r="F43" s="20"/>
      <c r="G43" s="145">
        <v>86075000</v>
      </c>
      <c r="H43" s="145">
        <v>-15406350</v>
      </c>
      <c r="I43" s="145">
        <v>70668650</v>
      </c>
      <c r="J43" s="145">
        <v>70668650</v>
      </c>
      <c r="K43" s="145">
        <v>70668650</v>
      </c>
      <c r="L43" s="145">
        <v>-15406350</v>
      </c>
    </row>
    <row r="44" spans="1:12" x14ac:dyDescent="0.3">
      <c r="A44" s="19"/>
      <c r="B44" s="50"/>
      <c r="C44" s="50"/>
      <c r="D44" s="57" t="s">
        <v>157</v>
      </c>
      <c r="E44" s="50"/>
      <c r="F44" s="20"/>
      <c r="G44" s="145">
        <v>3082052067</v>
      </c>
      <c r="H44" s="145">
        <v>5844307</v>
      </c>
      <c r="I44" s="145">
        <v>3087896374</v>
      </c>
      <c r="J44" s="145">
        <v>3394160000</v>
      </c>
      <c r="K44" s="145">
        <v>3394160000</v>
      </c>
      <c r="L44" s="145">
        <v>312107933</v>
      </c>
    </row>
    <row r="45" spans="1:12" x14ac:dyDescent="0.3">
      <c r="A45" s="58" t="s">
        <v>162</v>
      </c>
      <c r="B45" s="59"/>
      <c r="C45" s="50"/>
      <c r="D45" s="57"/>
      <c r="E45" s="50"/>
      <c r="F45" s="20"/>
      <c r="G45" s="145">
        <v>0</v>
      </c>
      <c r="H45" s="145">
        <v>0</v>
      </c>
      <c r="I45" s="145">
        <v>0</v>
      </c>
      <c r="J45" s="145">
        <v>0</v>
      </c>
      <c r="K45" s="145">
        <v>0</v>
      </c>
      <c r="L45" s="145">
        <v>0</v>
      </c>
    </row>
    <row r="46" spans="1:12" x14ac:dyDescent="0.3">
      <c r="A46" s="60"/>
      <c r="B46" s="57" t="s">
        <v>163</v>
      </c>
      <c r="C46" s="57"/>
      <c r="D46" s="57"/>
      <c r="E46" s="50"/>
      <c r="F46" s="20"/>
      <c r="G46" s="145">
        <v>0</v>
      </c>
      <c r="H46" s="145">
        <v>0</v>
      </c>
      <c r="I46" s="145">
        <v>0</v>
      </c>
      <c r="J46" s="145">
        <v>0</v>
      </c>
      <c r="K46" s="145">
        <v>0</v>
      </c>
      <c r="L46" s="145">
        <v>0</v>
      </c>
    </row>
    <row r="47" spans="1:12" x14ac:dyDescent="0.3">
      <c r="A47" s="60"/>
      <c r="B47" s="57" t="s">
        <v>147</v>
      </c>
      <c r="C47" s="57"/>
      <c r="D47" s="57"/>
      <c r="E47" s="50"/>
      <c r="F47" s="20"/>
      <c r="G47" s="145">
        <v>4788853</v>
      </c>
      <c r="H47" s="145">
        <v>-130094</v>
      </c>
      <c r="I47" s="145">
        <v>4658759</v>
      </c>
      <c r="J47" s="145">
        <v>6670370</v>
      </c>
      <c r="K47" s="145">
        <v>6670370</v>
      </c>
      <c r="L47" s="145">
        <v>1881517</v>
      </c>
    </row>
    <row r="48" spans="1:12" x14ac:dyDescent="0.3">
      <c r="A48" s="60"/>
      <c r="B48" s="57"/>
      <c r="C48" s="57"/>
      <c r="D48" s="57" t="s">
        <v>155</v>
      </c>
      <c r="E48" s="50"/>
      <c r="F48" s="20"/>
      <c r="G48" s="145">
        <v>4788853</v>
      </c>
      <c r="H48" s="145">
        <v>-130094</v>
      </c>
      <c r="I48" s="145">
        <v>4658759</v>
      </c>
      <c r="J48" s="145">
        <v>6670370</v>
      </c>
      <c r="K48" s="145">
        <v>6670370</v>
      </c>
      <c r="L48" s="145">
        <v>1881517</v>
      </c>
    </row>
    <row r="49" spans="1:12" x14ac:dyDescent="0.3">
      <c r="A49" s="60"/>
      <c r="B49" s="57"/>
      <c r="C49" s="57"/>
      <c r="D49" s="57" t="s">
        <v>157</v>
      </c>
      <c r="E49" s="50"/>
      <c r="F49" s="20"/>
      <c r="G49" s="145">
        <v>0</v>
      </c>
      <c r="H49" s="145">
        <v>0</v>
      </c>
      <c r="I49" s="145">
        <v>0</v>
      </c>
      <c r="J49" s="145">
        <v>0</v>
      </c>
      <c r="K49" s="145">
        <v>0</v>
      </c>
      <c r="L49" s="145">
        <v>0</v>
      </c>
    </row>
    <row r="50" spans="1:12" ht="26.25" customHeight="1" x14ac:dyDescent="0.3">
      <c r="A50" s="60"/>
      <c r="B50" s="344" t="s">
        <v>3</v>
      </c>
      <c r="C50" s="344"/>
      <c r="D50" s="344"/>
      <c r="E50" s="344"/>
      <c r="F50" s="20"/>
      <c r="G50" s="145">
        <v>7186770866</v>
      </c>
      <c r="H50" s="145">
        <v>426016607</v>
      </c>
      <c r="I50" s="145">
        <v>7612787473</v>
      </c>
      <c r="J50" s="145">
        <v>7612787473</v>
      </c>
      <c r="K50" s="145">
        <v>7612787473</v>
      </c>
      <c r="L50" s="145">
        <v>426016607</v>
      </c>
    </row>
    <row r="51" spans="1:12" x14ac:dyDescent="0.3">
      <c r="A51" s="58" t="s">
        <v>164</v>
      </c>
      <c r="B51" s="50"/>
      <c r="C51" s="50"/>
      <c r="D51" s="50"/>
      <c r="E51" s="50"/>
      <c r="F51" s="20"/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</row>
    <row r="52" spans="1:12" x14ac:dyDescent="0.3">
      <c r="A52" s="19"/>
      <c r="B52" s="50" t="s">
        <v>148</v>
      </c>
      <c r="C52" s="50"/>
      <c r="D52" s="50"/>
      <c r="E52" s="50"/>
      <c r="F52" s="20">
        <v>0</v>
      </c>
      <c r="G52" s="145">
        <v>4500000000</v>
      </c>
      <c r="H52" s="145">
        <v>166150842</v>
      </c>
      <c r="I52" s="145">
        <v>4666150842</v>
      </c>
      <c r="J52" s="145">
        <v>6469562765</v>
      </c>
      <c r="K52" s="145">
        <v>6469562765</v>
      </c>
      <c r="L52" s="145">
        <v>1969562765</v>
      </c>
    </row>
    <row r="53" spans="1:12" x14ac:dyDescent="0.3">
      <c r="A53" s="19"/>
      <c r="B53" s="50"/>
      <c r="C53" s="50"/>
      <c r="D53" s="57" t="s">
        <v>165</v>
      </c>
      <c r="E53" s="50"/>
      <c r="F53" s="20"/>
      <c r="G53" s="145">
        <v>4500000000</v>
      </c>
      <c r="H53" s="145">
        <v>166150842</v>
      </c>
      <c r="I53" s="145">
        <v>4666150842</v>
      </c>
      <c r="J53" s="145">
        <v>6469562765</v>
      </c>
      <c r="K53" s="145">
        <v>6469562765</v>
      </c>
      <c r="L53" s="145">
        <v>1969562765</v>
      </c>
    </row>
    <row r="54" spans="1:12" ht="17.25" thickBot="1" x14ac:dyDescent="0.35">
      <c r="A54" s="61"/>
      <c r="B54" s="62"/>
      <c r="C54" s="62"/>
      <c r="D54" s="62"/>
      <c r="E54" s="62"/>
      <c r="F54" s="63"/>
      <c r="G54" s="64"/>
      <c r="H54" s="64"/>
      <c r="I54" s="64"/>
      <c r="J54" s="64"/>
      <c r="K54" s="64"/>
      <c r="L54" s="65"/>
    </row>
    <row r="55" spans="1:12" ht="17.25" thickBot="1" x14ac:dyDescent="0.35">
      <c r="A55" s="341" t="s">
        <v>149</v>
      </c>
      <c r="B55" s="342"/>
      <c r="C55" s="342"/>
      <c r="D55" s="342"/>
      <c r="E55" s="342"/>
      <c r="F55" s="21"/>
      <c r="G55" s="147">
        <v>56451879944</v>
      </c>
      <c r="H55" s="147">
        <v>6168632589</v>
      </c>
      <c r="I55" s="147">
        <v>62620512533</v>
      </c>
      <c r="J55" s="147">
        <v>64764680296</v>
      </c>
      <c r="K55" s="147">
        <v>64764680296</v>
      </c>
      <c r="L55" s="310">
        <v>8312800352</v>
      </c>
    </row>
    <row r="56" spans="1:12" ht="17.25" thickBot="1" x14ac:dyDescent="0.35">
      <c r="A56" s="56"/>
      <c r="B56" s="56"/>
      <c r="C56" s="56"/>
      <c r="D56" s="56"/>
      <c r="E56" s="56"/>
      <c r="F56" s="56"/>
      <c r="G56" s="56"/>
      <c r="H56" s="56"/>
      <c r="I56" s="56"/>
      <c r="J56" s="341" t="s">
        <v>151</v>
      </c>
      <c r="K56" s="343"/>
      <c r="L56" s="311"/>
    </row>
    <row r="58" spans="1:12" x14ac:dyDescent="0.3">
      <c r="A58" s="314" t="s">
        <v>150</v>
      </c>
      <c r="B58" s="314"/>
      <c r="C58" s="314"/>
      <c r="D58" s="314"/>
      <c r="E58" s="314"/>
      <c r="F58" s="314"/>
      <c r="G58" s="314"/>
      <c r="H58" s="314"/>
      <c r="I58" s="314"/>
      <c r="J58" s="314"/>
      <c r="K58" s="314"/>
      <c r="L58" s="314"/>
    </row>
    <row r="59" spans="1:12" x14ac:dyDescent="0.3">
      <c r="A59" s="314"/>
      <c r="B59" s="314"/>
      <c r="C59" s="314"/>
      <c r="D59" s="314"/>
      <c r="E59" s="314"/>
      <c r="F59" s="314"/>
      <c r="G59" s="314"/>
      <c r="H59" s="314"/>
      <c r="I59" s="314"/>
      <c r="J59" s="314"/>
      <c r="K59" s="314"/>
      <c r="L59" s="314"/>
    </row>
    <row r="60" spans="1:12" x14ac:dyDescent="0.3">
      <c r="L60" s="41"/>
    </row>
    <row r="61" spans="1:12" x14ac:dyDescent="0.3">
      <c r="G61" s="41"/>
      <c r="H61" s="41"/>
      <c r="I61" s="41"/>
      <c r="J61" s="41"/>
      <c r="K61" s="41"/>
      <c r="L61" s="41"/>
    </row>
    <row r="62" spans="1:12" x14ac:dyDescent="0.3">
      <c r="G62" s="41"/>
      <c r="H62" s="41"/>
      <c r="I62" s="41"/>
      <c r="J62" s="41"/>
      <c r="K62" s="41"/>
      <c r="L62" s="41"/>
    </row>
    <row r="63" spans="1:12" x14ac:dyDescent="0.3">
      <c r="G63" s="41"/>
      <c r="H63" s="41"/>
      <c r="I63" s="41"/>
      <c r="J63" s="41"/>
      <c r="K63" s="41"/>
      <c r="L63" s="41"/>
    </row>
    <row r="64" spans="1:12" x14ac:dyDescent="0.3">
      <c r="G64" s="41"/>
      <c r="H64" s="41"/>
      <c r="I64" s="41"/>
      <c r="J64" s="41"/>
      <c r="K64" s="41"/>
      <c r="L64" s="41"/>
    </row>
    <row r="65" spans="7:12" x14ac:dyDescent="0.3">
      <c r="G65" s="41"/>
      <c r="H65" s="41"/>
      <c r="I65" s="41"/>
      <c r="J65" s="41"/>
      <c r="K65" s="41"/>
      <c r="L65" s="41"/>
    </row>
    <row r="66" spans="7:12" x14ac:dyDescent="0.3">
      <c r="G66" s="41"/>
      <c r="H66" s="41"/>
      <c r="I66" s="41"/>
      <c r="J66" s="41"/>
      <c r="K66" s="41"/>
      <c r="L66" s="41"/>
    </row>
    <row r="67" spans="7:12" x14ac:dyDescent="0.3">
      <c r="G67" s="41"/>
      <c r="H67" s="41"/>
      <c r="I67" s="41"/>
      <c r="J67" s="41"/>
      <c r="K67" s="41"/>
      <c r="L67" s="41"/>
    </row>
    <row r="68" spans="7:12" x14ac:dyDescent="0.3">
      <c r="G68" s="41"/>
      <c r="H68" s="41"/>
      <c r="I68" s="41"/>
      <c r="J68" s="41"/>
      <c r="K68" s="41"/>
      <c r="L68" s="41"/>
    </row>
    <row r="69" spans="7:12" x14ac:dyDescent="0.3">
      <c r="G69" s="41"/>
      <c r="H69" s="41"/>
      <c r="I69" s="41"/>
      <c r="J69" s="41"/>
      <c r="K69" s="41"/>
      <c r="L69" s="41"/>
    </row>
    <row r="70" spans="7:12" x14ac:dyDescent="0.3">
      <c r="G70" s="41"/>
      <c r="H70" s="41"/>
      <c r="I70" s="41"/>
      <c r="J70" s="41"/>
      <c r="K70" s="41"/>
      <c r="L70" s="41"/>
    </row>
    <row r="71" spans="7:12" x14ac:dyDescent="0.3">
      <c r="G71" s="41"/>
      <c r="H71" s="41"/>
      <c r="I71" s="41"/>
      <c r="J71" s="41"/>
      <c r="K71" s="41"/>
      <c r="L71" s="41"/>
    </row>
    <row r="72" spans="7:12" x14ac:dyDescent="0.3">
      <c r="G72" s="41"/>
      <c r="H72" s="41"/>
      <c r="I72" s="41"/>
      <c r="J72" s="41"/>
      <c r="K72" s="41"/>
      <c r="L72" s="41"/>
    </row>
    <row r="73" spans="7:12" x14ac:dyDescent="0.3">
      <c r="G73" s="41"/>
      <c r="H73" s="41"/>
      <c r="I73" s="41"/>
      <c r="J73" s="41"/>
      <c r="K73" s="41"/>
      <c r="L73" s="41"/>
    </row>
    <row r="74" spans="7:12" x14ac:dyDescent="0.3">
      <c r="G74" s="41"/>
      <c r="H74" s="41"/>
      <c r="I74" s="41"/>
      <c r="J74" s="41"/>
      <c r="K74" s="41"/>
      <c r="L74" s="41"/>
    </row>
    <row r="75" spans="7:12" x14ac:dyDescent="0.3">
      <c r="G75" s="41"/>
      <c r="H75" s="41"/>
      <c r="I75" s="41"/>
      <c r="J75" s="41"/>
      <c r="K75" s="41"/>
      <c r="L75" s="41"/>
    </row>
    <row r="76" spans="7:12" x14ac:dyDescent="0.3">
      <c r="G76" s="41"/>
      <c r="H76" s="41"/>
      <c r="I76" s="41"/>
      <c r="J76" s="41"/>
      <c r="K76" s="41"/>
      <c r="L76" s="41"/>
    </row>
    <row r="77" spans="7:12" x14ac:dyDescent="0.3">
      <c r="G77" s="41"/>
      <c r="H77" s="41"/>
      <c r="I77" s="41"/>
      <c r="J77" s="41"/>
      <c r="K77" s="41"/>
      <c r="L77" s="41"/>
    </row>
    <row r="78" spans="7:12" x14ac:dyDescent="0.3">
      <c r="G78" s="41"/>
      <c r="H78" s="41"/>
      <c r="I78" s="41"/>
      <c r="J78" s="41"/>
      <c r="K78" s="41"/>
      <c r="L78" s="41"/>
    </row>
    <row r="79" spans="7:12" x14ac:dyDescent="0.3">
      <c r="G79" s="41"/>
      <c r="H79" s="41"/>
      <c r="I79" s="41"/>
      <c r="J79" s="41"/>
      <c r="K79" s="41"/>
      <c r="L79" s="41"/>
    </row>
    <row r="80" spans="7:12" x14ac:dyDescent="0.3">
      <c r="G80" s="41"/>
      <c r="H80" s="41"/>
      <c r="I80" s="41"/>
      <c r="J80" s="41"/>
      <c r="K80" s="41"/>
      <c r="L80" s="41"/>
    </row>
    <row r="81" spans="7:12" x14ac:dyDescent="0.3">
      <c r="G81" s="41"/>
      <c r="H81" s="41"/>
      <c r="I81" s="41"/>
      <c r="J81" s="41"/>
      <c r="K81" s="41"/>
      <c r="L81" s="41"/>
    </row>
    <row r="82" spans="7:12" x14ac:dyDescent="0.3">
      <c r="G82" s="41"/>
      <c r="H82" s="41"/>
      <c r="I82" s="41"/>
      <c r="J82" s="41"/>
      <c r="K82" s="41"/>
      <c r="L82" s="41"/>
    </row>
    <row r="83" spans="7:12" x14ac:dyDescent="0.3">
      <c r="G83" s="41"/>
      <c r="H83" s="41"/>
      <c r="I83" s="41"/>
      <c r="J83" s="41"/>
      <c r="K83" s="41"/>
      <c r="L83" s="41"/>
    </row>
    <row r="84" spans="7:12" x14ac:dyDescent="0.3">
      <c r="G84" s="41"/>
      <c r="H84" s="41"/>
      <c r="I84" s="41"/>
      <c r="J84" s="41"/>
      <c r="K84" s="41"/>
      <c r="L84" s="41"/>
    </row>
    <row r="85" spans="7:12" x14ac:dyDescent="0.3">
      <c r="G85" s="41"/>
      <c r="H85" s="41"/>
      <c r="I85" s="41"/>
      <c r="J85" s="41"/>
      <c r="K85" s="41"/>
      <c r="L85" s="41"/>
    </row>
    <row r="86" spans="7:12" x14ac:dyDescent="0.3">
      <c r="G86" s="41"/>
      <c r="H86" s="41"/>
      <c r="I86" s="41"/>
      <c r="J86" s="41"/>
      <c r="K86" s="41"/>
      <c r="L86" s="41"/>
    </row>
    <row r="87" spans="7:12" x14ac:dyDescent="0.3">
      <c r="G87" s="41"/>
      <c r="H87" s="41"/>
      <c r="I87" s="41"/>
      <c r="J87" s="41"/>
      <c r="K87" s="41"/>
      <c r="L87" s="41"/>
    </row>
    <row r="88" spans="7:12" x14ac:dyDescent="0.3">
      <c r="G88" s="41"/>
      <c r="H88" s="41"/>
      <c r="I88" s="41"/>
      <c r="J88" s="41"/>
      <c r="K88" s="41"/>
      <c r="L88" s="41"/>
    </row>
    <row r="89" spans="7:12" x14ac:dyDescent="0.3">
      <c r="G89" s="41"/>
      <c r="H89" s="41"/>
      <c r="I89" s="41"/>
      <c r="J89" s="41"/>
      <c r="K89" s="41"/>
      <c r="L89" s="41"/>
    </row>
    <row r="90" spans="7:12" x14ac:dyDescent="0.3">
      <c r="G90" s="41"/>
      <c r="H90" s="41"/>
      <c r="I90" s="41"/>
      <c r="J90" s="41"/>
      <c r="K90" s="41"/>
      <c r="L90" s="41"/>
    </row>
    <row r="91" spans="7:12" x14ac:dyDescent="0.3">
      <c r="G91" s="41"/>
      <c r="H91" s="41"/>
      <c r="I91" s="41"/>
      <c r="J91" s="41"/>
      <c r="K91" s="41"/>
      <c r="L91" s="41"/>
    </row>
    <row r="92" spans="7:12" x14ac:dyDescent="0.3">
      <c r="G92" s="41"/>
      <c r="H92" s="41"/>
      <c r="I92" s="41"/>
      <c r="J92" s="41"/>
      <c r="K92" s="41"/>
      <c r="L92" s="41"/>
    </row>
    <row r="93" spans="7:12" x14ac:dyDescent="0.3">
      <c r="G93" s="41"/>
      <c r="H93" s="41"/>
      <c r="I93" s="41"/>
      <c r="J93" s="41"/>
      <c r="K93" s="41"/>
      <c r="L93" s="41"/>
    </row>
    <row r="94" spans="7:12" x14ac:dyDescent="0.3">
      <c r="G94" s="41"/>
      <c r="H94" s="41"/>
      <c r="I94" s="41"/>
      <c r="J94" s="41"/>
      <c r="K94" s="41"/>
      <c r="L94" s="41"/>
    </row>
    <row r="95" spans="7:12" x14ac:dyDescent="0.3">
      <c r="G95" s="41"/>
      <c r="H95" s="41"/>
      <c r="I95" s="41"/>
      <c r="J95" s="41"/>
      <c r="K95" s="41"/>
      <c r="L95" s="41"/>
    </row>
    <row r="96" spans="7:12" x14ac:dyDescent="0.3">
      <c r="G96" s="41"/>
      <c r="H96" s="41"/>
      <c r="I96" s="41"/>
      <c r="J96" s="41"/>
      <c r="K96" s="41"/>
      <c r="L96" s="41"/>
    </row>
    <row r="97" spans="7:12" x14ac:dyDescent="0.3">
      <c r="G97" s="41"/>
      <c r="H97" s="41"/>
      <c r="I97" s="41"/>
      <c r="J97" s="41"/>
      <c r="K97" s="41"/>
      <c r="L97" s="41"/>
    </row>
    <row r="98" spans="7:12" x14ac:dyDescent="0.3">
      <c r="G98" s="41"/>
      <c r="H98" s="41"/>
      <c r="I98" s="41"/>
      <c r="J98" s="41"/>
      <c r="K98" s="41"/>
      <c r="L98" s="41"/>
    </row>
    <row r="99" spans="7:12" x14ac:dyDescent="0.3">
      <c r="G99" s="41"/>
      <c r="H99" s="41"/>
      <c r="I99" s="41"/>
      <c r="J99" s="41"/>
      <c r="K99" s="41"/>
      <c r="L99" s="41"/>
    </row>
    <row r="100" spans="7:12" x14ac:dyDescent="0.3">
      <c r="G100" s="41"/>
      <c r="H100" s="41"/>
      <c r="I100" s="41"/>
      <c r="J100" s="41"/>
      <c r="K100" s="41"/>
      <c r="L100" s="41"/>
    </row>
    <row r="101" spans="7:12" x14ac:dyDescent="0.3">
      <c r="G101" s="41"/>
      <c r="H101" s="41"/>
      <c r="I101" s="41"/>
      <c r="J101" s="41"/>
      <c r="K101" s="41"/>
      <c r="L101" s="41"/>
    </row>
    <row r="102" spans="7:12" x14ac:dyDescent="0.3">
      <c r="G102" s="41"/>
      <c r="H102" s="41"/>
      <c r="I102" s="41"/>
      <c r="J102" s="41"/>
      <c r="K102" s="41"/>
      <c r="L102" s="41"/>
    </row>
    <row r="103" spans="7:12" x14ac:dyDescent="0.3">
      <c r="G103" s="41"/>
      <c r="H103" s="41"/>
      <c r="I103" s="41"/>
      <c r="J103" s="41"/>
      <c r="K103" s="41"/>
      <c r="L103" s="41"/>
    </row>
    <row r="104" spans="7:12" x14ac:dyDescent="0.3">
      <c r="G104" s="41"/>
      <c r="H104" s="41"/>
      <c r="I104" s="41"/>
      <c r="J104" s="41"/>
      <c r="K104" s="41"/>
      <c r="L104" s="41"/>
    </row>
    <row r="105" spans="7:12" x14ac:dyDescent="0.3">
      <c r="G105" s="41"/>
      <c r="H105" s="41"/>
      <c r="I105" s="41"/>
      <c r="J105" s="41"/>
      <c r="K105" s="41"/>
      <c r="L105" s="41"/>
    </row>
    <row r="106" spans="7:12" x14ac:dyDescent="0.3">
      <c r="G106" s="41"/>
      <c r="H106" s="41"/>
      <c r="I106" s="41"/>
      <c r="J106" s="41"/>
      <c r="K106" s="41"/>
      <c r="L106" s="41"/>
    </row>
    <row r="107" spans="7:12" x14ac:dyDescent="0.3">
      <c r="G107" s="41"/>
      <c r="H107" s="41"/>
      <c r="I107" s="41"/>
      <c r="J107" s="41"/>
      <c r="K107" s="41"/>
      <c r="L107" s="41"/>
    </row>
    <row r="108" spans="7:12" x14ac:dyDescent="0.3">
      <c r="G108" s="41"/>
      <c r="H108" s="41"/>
      <c r="I108" s="41"/>
      <c r="J108" s="41"/>
      <c r="K108" s="41"/>
      <c r="L108" s="41"/>
    </row>
    <row r="109" spans="7:12" x14ac:dyDescent="0.3">
      <c r="G109" s="41"/>
      <c r="H109" s="41"/>
      <c r="I109" s="41"/>
      <c r="J109" s="41"/>
      <c r="K109" s="41"/>
      <c r="L109" s="41"/>
    </row>
    <row r="110" spans="7:12" x14ac:dyDescent="0.3">
      <c r="G110" s="41"/>
      <c r="H110" s="41"/>
      <c r="I110" s="41"/>
      <c r="J110" s="41"/>
      <c r="K110" s="41"/>
      <c r="L110" s="41"/>
    </row>
    <row r="111" spans="7:12" x14ac:dyDescent="0.3">
      <c r="G111" s="41"/>
      <c r="H111" s="41"/>
      <c r="I111" s="41"/>
      <c r="J111" s="41"/>
      <c r="K111" s="41"/>
      <c r="L111" s="41"/>
    </row>
    <row r="112" spans="7:12" x14ac:dyDescent="0.3">
      <c r="G112" s="41"/>
      <c r="H112" s="41"/>
      <c r="I112" s="41"/>
      <c r="J112" s="41"/>
      <c r="K112" s="41"/>
      <c r="L112" s="41"/>
    </row>
    <row r="113" spans="7:12" x14ac:dyDescent="0.3">
      <c r="G113" s="41"/>
      <c r="H113" s="41"/>
      <c r="I113" s="41"/>
      <c r="J113" s="41"/>
      <c r="K113" s="41"/>
      <c r="L113" s="41"/>
    </row>
    <row r="114" spans="7:12" x14ac:dyDescent="0.3">
      <c r="G114" s="41"/>
      <c r="H114" s="41"/>
      <c r="I114" s="41"/>
      <c r="J114" s="41"/>
      <c r="K114" s="41"/>
      <c r="L114" s="41"/>
    </row>
  </sheetData>
  <mergeCells count="13">
    <mergeCell ref="B42:E42"/>
    <mergeCell ref="A3:L3"/>
    <mergeCell ref="A4:L4"/>
    <mergeCell ref="A5:L5"/>
    <mergeCell ref="A6:L6"/>
    <mergeCell ref="A7:E9"/>
    <mergeCell ref="F7:F9"/>
    <mergeCell ref="G7:K7"/>
    <mergeCell ref="A55:E55"/>
    <mergeCell ref="L55:L56"/>
    <mergeCell ref="J56:K56"/>
    <mergeCell ref="A58:L59"/>
    <mergeCell ref="B50:E50"/>
  </mergeCells>
  <printOptions horizontalCentered="1"/>
  <pageMargins left="0.70866141732283472" right="0.70866141732283472" top="0.74803149606299213" bottom="0.74803149606299213" header="0.31496062992125984" footer="0.31496062992125984"/>
  <pageSetup paperSize="128" scale="71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7"/>
  <sheetViews>
    <sheetView workbookViewId="0">
      <selection activeCell="B29" sqref="B29"/>
    </sheetView>
  </sheetViews>
  <sheetFormatPr baseColWidth="10" defaultRowHeight="12.75" x14ac:dyDescent="0.2"/>
  <cols>
    <col min="1" max="1" width="47.42578125" style="66" customWidth="1"/>
    <col min="2" max="2" width="22.140625" style="68" customWidth="1"/>
    <col min="3" max="3" width="21.42578125" style="68" customWidth="1"/>
    <col min="4" max="4" width="18.5703125" style="68" customWidth="1"/>
    <col min="5" max="5" width="10.5703125" style="68" customWidth="1"/>
    <col min="6" max="6" width="5.85546875" style="66" customWidth="1"/>
    <col min="7" max="7" width="11.42578125" style="66"/>
    <col min="8" max="8" width="21.85546875" style="66" customWidth="1"/>
    <col min="9" max="16384" width="11.42578125" style="66"/>
  </cols>
  <sheetData>
    <row r="3" spans="1:5" x14ac:dyDescent="0.2">
      <c r="A3" s="355"/>
      <c r="B3" s="355"/>
      <c r="C3" s="355"/>
      <c r="D3" s="355"/>
      <c r="E3" s="355"/>
    </row>
    <row r="4" spans="1:5" x14ac:dyDescent="0.2">
      <c r="A4" s="355"/>
      <c r="B4" s="355"/>
      <c r="C4" s="355"/>
      <c r="D4" s="355"/>
      <c r="E4" s="355"/>
    </row>
    <row r="5" spans="1:5" x14ac:dyDescent="0.2">
      <c r="A5" s="355" t="s">
        <v>166</v>
      </c>
      <c r="B5" s="355"/>
      <c r="C5" s="355"/>
      <c r="D5" s="355"/>
      <c r="E5" s="355"/>
    </row>
    <row r="6" spans="1:5" x14ac:dyDescent="0.2">
      <c r="A6" s="67"/>
    </row>
    <row r="7" spans="1:5" x14ac:dyDescent="0.2">
      <c r="A7" s="355" t="s">
        <v>167</v>
      </c>
      <c r="B7" s="355"/>
      <c r="C7" s="355"/>
      <c r="D7" s="355"/>
      <c r="E7" s="355"/>
    </row>
    <row r="8" spans="1:5" ht="13.5" thickBot="1" x14ac:dyDescent="0.25">
      <c r="A8" s="67"/>
    </row>
    <row r="9" spans="1:5" ht="13.5" thickBot="1" x14ac:dyDescent="0.25">
      <c r="A9" s="69" t="s">
        <v>168</v>
      </c>
      <c r="B9" s="70" t="s">
        <v>169</v>
      </c>
      <c r="C9" s="70" t="s">
        <v>170</v>
      </c>
      <c r="D9" s="71" t="s">
        <v>171</v>
      </c>
      <c r="E9" s="71" t="s">
        <v>172</v>
      </c>
    </row>
    <row r="10" spans="1:5" x14ac:dyDescent="0.2">
      <c r="A10" s="72" t="s">
        <v>173</v>
      </c>
      <c r="B10" s="73">
        <f>ROUND(+B24,0)</f>
        <v>2884280750</v>
      </c>
      <c r="C10" s="73">
        <f t="shared" ref="C10:D10" si="0">ROUND(+C24,0)</f>
        <v>2819669122</v>
      </c>
      <c r="D10" s="73">
        <f t="shared" si="0"/>
        <v>-64611628</v>
      </c>
      <c r="E10" s="74">
        <f>+E24</f>
        <v>97.759870359360818</v>
      </c>
    </row>
    <row r="11" spans="1:5" x14ac:dyDescent="0.2">
      <c r="A11" s="72" t="s">
        <v>174</v>
      </c>
      <c r="B11" s="73">
        <f>ROUND(+B43,0)</f>
        <v>1725981511</v>
      </c>
      <c r="C11" s="73">
        <f t="shared" ref="C11:D11" si="1">ROUND(+C43,0)</f>
        <v>1541358924</v>
      </c>
      <c r="D11" s="73">
        <f t="shared" si="1"/>
        <v>-184622587</v>
      </c>
      <c r="E11" s="74">
        <f>+E43</f>
        <v>89.303327653085148</v>
      </c>
    </row>
    <row r="12" spans="1:5" x14ac:dyDescent="0.2">
      <c r="A12" s="72" t="s">
        <v>175</v>
      </c>
      <c r="B12" s="73">
        <f>ROUND(+B110,0)</f>
        <v>45792731</v>
      </c>
      <c r="C12" s="73">
        <f>ROUND(+C110,0)</f>
        <v>125092290</v>
      </c>
      <c r="D12" s="73">
        <f>ROUND(+D110,0)</f>
        <v>79299559</v>
      </c>
      <c r="E12" s="74">
        <f>+E110</f>
        <v>273.17062614151581</v>
      </c>
    </row>
    <row r="13" spans="1:5" ht="13.5" thickBot="1" x14ac:dyDescent="0.25">
      <c r="A13" s="72" t="s">
        <v>176</v>
      </c>
      <c r="B13" s="73">
        <f>ROUND(+B125,0)</f>
        <v>1961829144</v>
      </c>
      <c r="C13" s="73">
        <f>ROUND(+C125,0)</f>
        <v>2565862380</v>
      </c>
      <c r="D13" s="73">
        <f>ROUND(+D125,0)</f>
        <v>604033236</v>
      </c>
      <c r="E13" s="74">
        <f>+E125</f>
        <v>130.78928854978818</v>
      </c>
    </row>
    <row r="14" spans="1:5" ht="13.5" thickBot="1" x14ac:dyDescent="0.25">
      <c r="A14" s="75" t="s">
        <v>177</v>
      </c>
      <c r="B14" s="76">
        <f>ROUND(SUM(B10:B13),0)</f>
        <v>6617884136</v>
      </c>
      <c r="C14" s="76">
        <f t="shared" ref="C14:D14" si="2">ROUND(SUM(C10:C13),0)</f>
        <v>7051982716</v>
      </c>
      <c r="D14" s="76">
        <f t="shared" si="2"/>
        <v>434098580</v>
      </c>
      <c r="E14" s="77">
        <f>+C14/B14*100</f>
        <v>106.55947688232541</v>
      </c>
    </row>
    <row r="15" spans="1:5" x14ac:dyDescent="0.2">
      <c r="A15" s="78" t="s">
        <v>178</v>
      </c>
      <c r="B15" s="79">
        <f>ROUND(+B173,0)</f>
        <v>4788853</v>
      </c>
      <c r="C15" s="79">
        <f t="shared" ref="C15:D15" si="3">ROUND(+C173,0)</f>
        <v>6670370</v>
      </c>
      <c r="D15" s="79">
        <f t="shared" si="3"/>
        <v>1881517</v>
      </c>
      <c r="E15" s="80">
        <f>+E173</f>
        <v>139.28951254089446</v>
      </c>
    </row>
    <row r="16" spans="1:5" x14ac:dyDescent="0.2">
      <c r="A16" s="81" t="s">
        <v>179</v>
      </c>
      <c r="B16" s="79">
        <f>ROUND(+B178,0)</f>
        <v>34974309022</v>
      </c>
      <c r="C16" s="79">
        <f t="shared" ref="C16:D16" si="4">ROUND(+C178,0)</f>
        <v>40158848322</v>
      </c>
      <c r="D16" s="79">
        <f t="shared" si="4"/>
        <v>5184539300</v>
      </c>
      <c r="E16" s="80">
        <f>+E178</f>
        <v>114.82385054909521</v>
      </c>
    </row>
    <row r="17" spans="1:8" ht="25.5" x14ac:dyDescent="0.2">
      <c r="A17" s="78" t="s">
        <v>180</v>
      </c>
      <c r="B17" s="79">
        <f>ROUND(+B217,0)</f>
        <v>10354897933</v>
      </c>
      <c r="C17" s="79">
        <f t="shared" ref="C17:D17" si="5">ROUND(+C217,0)</f>
        <v>11077616123</v>
      </c>
      <c r="D17" s="79">
        <f t="shared" si="5"/>
        <v>836679774</v>
      </c>
      <c r="E17" s="80">
        <f>+E217</f>
        <v>106.97948154270813</v>
      </c>
    </row>
    <row r="18" spans="1:8" ht="13.5" thickBot="1" x14ac:dyDescent="0.25">
      <c r="A18" s="82" t="s">
        <v>181</v>
      </c>
      <c r="B18" s="79">
        <f>ROUND(+B318,0)</f>
        <v>4500000000</v>
      </c>
      <c r="C18" s="79">
        <f>ROUND(+C318,0)</f>
        <v>6469562765</v>
      </c>
      <c r="D18" s="79">
        <f t="shared" ref="D18" si="6">ROUND(+D318,0)</f>
        <v>1969562765</v>
      </c>
      <c r="E18" s="80">
        <f>+E318</f>
        <v>143.76806144777777</v>
      </c>
    </row>
    <row r="19" spans="1:8" ht="13.5" thickBot="1" x14ac:dyDescent="0.25">
      <c r="A19" s="75" t="s">
        <v>182</v>
      </c>
      <c r="B19" s="76">
        <f>ROUND(SUM(B14:B18),0)</f>
        <v>56451879944</v>
      </c>
      <c r="C19" s="76">
        <f>ROUND(SUM(C14:C18),0)</f>
        <v>64764680296</v>
      </c>
      <c r="D19" s="76">
        <f t="shared" ref="D19" si="7">ROUND(SUM(D14:D18),0)</f>
        <v>8426761936</v>
      </c>
      <c r="E19" s="77">
        <f>+C19/B19*100</f>
        <v>114.72546239424844</v>
      </c>
    </row>
    <row r="20" spans="1:8" x14ac:dyDescent="0.2">
      <c r="A20" s="83"/>
      <c r="D20" s="84"/>
      <c r="E20" s="85"/>
    </row>
    <row r="21" spans="1:8" x14ac:dyDescent="0.2">
      <c r="B21" s="86"/>
    </row>
    <row r="22" spans="1:8" ht="13.5" thickBot="1" x14ac:dyDescent="0.25">
      <c r="A22" s="67"/>
      <c r="B22" s="66"/>
      <c r="C22" s="87"/>
      <c r="E22" s="88"/>
    </row>
    <row r="23" spans="1:8" ht="13.5" customHeight="1" thickBot="1" x14ac:dyDescent="0.25">
      <c r="A23" s="69" t="s">
        <v>168</v>
      </c>
      <c r="B23" s="70" t="s">
        <v>169</v>
      </c>
      <c r="C23" s="70" t="s">
        <v>170</v>
      </c>
      <c r="D23" s="71" t="s">
        <v>171</v>
      </c>
      <c r="E23" s="71" t="s">
        <v>172</v>
      </c>
    </row>
    <row r="24" spans="1:8" x14ac:dyDescent="0.2">
      <c r="A24" s="89" t="s">
        <v>173</v>
      </c>
      <c r="B24" s="90">
        <f>ROUND(SUM(B25:B31)+SUM(B35:B39),0)</f>
        <v>2884280750</v>
      </c>
      <c r="C24" s="90">
        <f>ROUND(SUM(C25:C31)+SUM(C35:C39),0)</f>
        <v>2819669122</v>
      </c>
      <c r="D24" s="90">
        <f>ROUND(SUM(D25:D31)+SUM(D35:D39),0)</f>
        <v>-64611628</v>
      </c>
      <c r="E24" s="91">
        <f>+C24/B24*100</f>
        <v>97.759870359360818</v>
      </c>
      <c r="H24" s="68"/>
    </row>
    <row r="25" spans="1:8" ht="25.5" x14ac:dyDescent="0.2">
      <c r="A25" s="92" t="s">
        <v>183</v>
      </c>
      <c r="B25" s="93">
        <v>87075556</v>
      </c>
      <c r="C25" s="94">
        <v>95289402</v>
      </c>
      <c r="D25" s="93">
        <f>+C25-B25</f>
        <v>8213846</v>
      </c>
      <c r="E25" s="95">
        <f>+C25/B25*100</f>
        <v>109.43301010905977</v>
      </c>
    </row>
    <row r="26" spans="1:8" ht="25.5" x14ac:dyDescent="0.2">
      <c r="A26" s="96" t="s">
        <v>184</v>
      </c>
      <c r="B26" s="93">
        <v>93768840</v>
      </c>
      <c r="C26" s="94">
        <v>90062872</v>
      </c>
      <c r="D26" s="93">
        <f t="shared" ref="D26:D39" si="8">+C26-B26</f>
        <v>-3705968</v>
      </c>
      <c r="E26" s="95">
        <f t="shared" ref="E26:E38" si="9">+C26/B26*100</f>
        <v>96.047761708473729</v>
      </c>
    </row>
    <row r="27" spans="1:8" ht="25.5" x14ac:dyDescent="0.2">
      <c r="A27" s="92" t="s">
        <v>185</v>
      </c>
      <c r="B27" s="93">
        <v>10007475</v>
      </c>
      <c r="C27" s="94">
        <v>10877828</v>
      </c>
      <c r="D27" s="93">
        <f t="shared" si="8"/>
        <v>870353</v>
      </c>
      <c r="E27" s="95">
        <f t="shared" si="9"/>
        <v>108.6970289708443</v>
      </c>
    </row>
    <row r="28" spans="1:8" ht="25.5" x14ac:dyDescent="0.2">
      <c r="A28" s="92" t="s">
        <v>186</v>
      </c>
      <c r="B28" s="93">
        <v>20252041</v>
      </c>
      <c r="C28" s="94">
        <v>27625733</v>
      </c>
      <c r="D28" s="93">
        <f t="shared" si="8"/>
        <v>7373692</v>
      </c>
      <c r="E28" s="95">
        <f t="shared" si="9"/>
        <v>136.40962409665278</v>
      </c>
    </row>
    <row r="29" spans="1:8" ht="29.25" customHeight="1" x14ac:dyDescent="0.2">
      <c r="A29" s="92" t="s">
        <v>187</v>
      </c>
      <c r="B29" s="93">
        <v>40154765</v>
      </c>
      <c r="C29" s="94">
        <v>43695059</v>
      </c>
      <c r="D29" s="93">
        <f t="shared" si="8"/>
        <v>3540294</v>
      </c>
      <c r="E29" s="95">
        <f t="shared" si="9"/>
        <v>108.81662238591112</v>
      </c>
    </row>
    <row r="30" spans="1:8" x14ac:dyDescent="0.2">
      <c r="A30" s="92" t="s">
        <v>188</v>
      </c>
      <c r="B30" s="93">
        <v>1266298369</v>
      </c>
      <c r="C30" s="94">
        <v>1355549911</v>
      </c>
      <c r="D30" s="93">
        <f t="shared" si="8"/>
        <v>89251542</v>
      </c>
      <c r="E30" s="95">
        <f t="shared" si="9"/>
        <v>107.04822371922363</v>
      </c>
    </row>
    <row r="31" spans="1:8" x14ac:dyDescent="0.2">
      <c r="A31" s="97" t="s">
        <v>189</v>
      </c>
      <c r="B31" s="98">
        <f>ROUND(SUM(B32:B34),0)</f>
        <v>38331480</v>
      </c>
      <c r="C31" s="98">
        <f>SUM(C32:C34)</f>
        <v>46024249</v>
      </c>
      <c r="D31" s="98">
        <f t="shared" ref="D31" si="10">ROUND(SUM(D32:D34),0)</f>
        <v>7692769</v>
      </c>
      <c r="E31" s="91">
        <f t="shared" si="9"/>
        <v>120.06906333906231</v>
      </c>
    </row>
    <row r="32" spans="1:8" x14ac:dyDescent="0.2">
      <c r="A32" s="96" t="s">
        <v>190</v>
      </c>
      <c r="B32" s="93">
        <v>22557574</v>
      </c>
      <c r="C32" s="94">
        <v>27352145</v>
      </c>
      <c r="D32" s="93">
        <f t="shared" si="8"/>
        <v>4794571</v>
      </c>
      <c r="E32" s="95">
        <f t="shared" si="9"/>
        <v>121.25481667487826</v>
      </c>
    </row>
    <row r="33" spans="1:5" x14ac:dyDescent="0.2">
      <c r="A33" s="96" t="s">
        <v>191</v>
      </c>
      <c r="B33" s="93">
        <v>12242097</v>
      </c>
      <c r="C33" s="94">
        <v>14419023</v>
      </c>
      <c r="D33" s="93">
        <f t="shared" si="8"/>
        <v>2176926</v>
      </c>
      <c r="E33" s="95">
        <f t="shared" si="9"/>
        <v>117.78229661143837</v>
      </c>
    </row>
    <row r="34" spans="1:5" x14ac:dyDescent="0.2">
      <c r="A34" s="96" t="s">
        <v>192</v>
      </c>
      <c r="B34" s="93">
        <v>3531809</v>
      </c>
      <c r="C34" s="94">
        <v>4253081</v>
      </c>
      <c r="D34" s="93">
        <f t="shared" si="8"/>
        <v>721272</v>
      </c>
      <c r="E34" s="95">
        <f t="shared" si="9"/>
        <v>120.42216892249836</v>
      </c>
    </row>
    <row r="35" spans="1:5" ht="25.5" x14ac:dyDescent="0.2">
      <c r="A35" s="96" t="s">
        <v>193</v>
      </c>
      <c r="B35" s="93">
        <v>425470308</v>
      </c>
      <c r="C35" s="94">
        <v>365051274</v>
      </c>
      <c r="D35" s="93">
        <f t="shared" si="8"/>
        <v>-60419034</v>
      </c>
      <c r="E35" s="95">
        <f t="shared" si="9"/>
        <v>85.799471111389508</v>
      </c>
    </row>
    <row r="36" spans="1:5" ht="25.5" x14ac:dyDescent="0.2">
      <c r="A36" s="96" t="s">
        <v>194</v>
      </c>
      <c r="B36" s="93">
        <v>425470308</v>
      </c>
      <c r="C36" s="94">
        <v>367473313</v>
      </c>
      <c r="D36" s="93">
        <f t="shared" si="8"/>
        <v>-57996995</v>
      </c>
      <c r="E36" s="95">
        <f t="shared" si="9"/>
        <v>86.368732691917955</v>
      </c>
    </row>
    <row r="37" spans="1:5" ht="25.5" x14ac:dyDescent="0.2">
      <c r="A37" s="96" t="s">
        <v>195</v>
      </c>
      <c r="B37" s="93">
        <v>425470308</v>
      </c>
      <c r="C37" s="94">
        <v>366077067</v>
      </c>
      <c r="D37" s="93">
        <f t="shared" si="8"/>
        <v>-59393241</v>
      </c>
      <c r="E37" s="95">
        <f t="shared" si="9"/>
        <v>86.040567371389869</v>
      </c>
    </row>
    <row r="38" spans="1:5" ht="25.5" x14ac:dyDescent="0.2">
      <c r="A38" s="96" t="s">
        <v>196</v>
      </c>
      <c r="B38" s="93">
        <v>51981300</v>
      </c>
      <c r="C38" s="94">
        <v>51928550</v>
      </c>
      <c r="D38" s="93">
        <f t="shared" si="8"/>
        <v>-52750</v>
      </c>
      <c r="E38" s="95">
        <f t="shared" si="9"/>
        <v>99.898521198969632</v>
      </c>
    </row>
    <row r="39" spans="1:5" ht="39" thickBot="1" x14ac:dyDescent="0.25">
      <c r="A39" s="99" t="s">
        <v>197</v>
      </c>
      <c r="B39" s="100">
        <v>0</v>
      </c>
      <c r="C39" s="101">
        <v>13864</v>
      </c>
      <c r="D39" s="100">
        <f t="shared" si="8"/>
        <v>13864</v>
      </c>
      <c r="E39" s="102">
        <v>100</v>
      </c>
    </row>
    <row r="40" spans="1:5" x14ac:dyDescent="0.2">
      <c r="A40" s="103"/>
      <c r="C40" s="104"/>
    </row>
    <row r="41" spans="1:5" ht="13.5" thickBot="1" x14ac:dyDescent="0.25">
      <c r="A41" s="67"/>
      <c r="C41" s="104"/>
      <c r="D41" s="105"/>
    </row>
    <row r="42" spans="1:5" ht="13.5" thickBot="1" x14ac:dyDescent="0.25">
      <c r="A42" s="69" t="s">
        <v>168</v>
      </c>
      <c r="B42" s="70" t="s">
        <v>169</v>
      </c>
      <c r="C42" s="70" t="s">
        <v>170</v>
      </c>
      <c r="D42" s="71" t="s">
        <v>171</v>
      </c>
      <c r="E42" s="71" t="s">
        <v>172</v>
      </c>
    </row>
    <row r="43" spans="1:5" x14ac:dyDescent="0.2">
      <c r="A43" s="89" t="s">
        <v>174</v>
      </c>
      <c r="B43" s="90">
        <f>ROUND((+B44+B47+B102+B106),0)</f>
        <v>1725981511</v>
      </c>
      <c r="C43" s="90">
        <f>ROUND((+C44+C47+C102+C106),0)</f>
        <v>1541358924</v>
      </c>
      <c r="D43" s="90">
        <f>ROUND((+D44+D47+D102+D106),0)</f>
        <v>-184622587</v>
      </c>
      <c r="E43" s="91">
        <f>+C43/B43*100</f>
        <v>89.303327653085148</v>
      </c>
    </row>
    <row r="44" spans="1:5" ht="25.5" x14ac:dyDescent="0.2">
      <c r="A44" s="97" t="s">
        <v>198</v>
      </c>
      <c r="B44" s="98">
        <f>ROUND((+B45+B46),0)</f>
        <v>4022516</v>
      </c>
      <c r="C44" s="98">
        <f t="shared" ref="C44:D44" si="11">ROUND((+C45+C46),0)</f>
        <v>2583058</v>
      </c>
      <c r="D44" s="98">
        <f t="shared" si="11"/>
        <v>-1439458</v>
      </c>
      <c r="E44" s="91">
        <f>+C44/B44*100</f>
        <v>64.214983855875275</v>
      </c>
    </row>
    <row r="45" spans="1:5" x14ac:dyDescent="0.2">
      <c r="A45" s="106" t="s">
        <v>199</v>
      </c>
      <c r="B45" s="93">
        <v>1754619</v>
      </c>
      <c r="C45" s="94">
        <v>1362266</v>
      </c>
      <c r="D45" s="93">
        <f t="shared" ref="D45:D46" si="12">+C45-B45</f>
        <v>-392353</v>
      </c>
      <c r="E45" s="95">
        <f>+C45/B45*100</f>
        <v>77.638849231656565</v>
      </c>
    </row>
    <row r="46" spans="1:5" x14ac:dyDescent="0.2">
      <c r="A46" s="96" t="s">
        <v>200</v>
      </c>
      <c r="B46" s="93">
        <v>2267897</v>
      </c>
      <c r="C46" s="94">
        <v>1220792</v>
      </c>
      <c r="D46" s="93">
        <f t="shared" si="12"/>
        <v>-1047105</v>
      </c>
      <c r="E46" s="95">
        <f t="shared" ref="E46:E56" si="13">+C46/B46*100</f>
        <v>53.829252386682469</v>
      </c>
    </row>
    <row r="47" spans="1:5" x14ac:dyDescent="0.2">
      <c r="A47" s="97" t="s">
        <v>201</v>
      </c>
      <c r="B47" s="90">
        <f>ROUND((B48+B53+B58+B64+B68+B69+B70+B74+B82+B87+B90+B91+B97+B98+B99+B100+B101),0)</f>
        <v>1659432337</v>
      </c>
      <c r="C47" s="90">
        <f>ROUND((C48+C53+C58+C64+C68+C69+C70+C74+C82+C87+C90+C91+C97+C98+C99+C100+C101),0)</f>
        <v>1481779963</v>
      </c>
      <c r="D47" s="90">
        <f>ROUND((D48+D53+D58+D64+D68+D69+D70+D74+D82+D87+D90+D91+D97+D98+D99+D100+D101),0)</f>
        <v>-177652374</v>
      </c>
      <c r="E47" s="91">
        <f t="shared" si="13"/>
        <v>89.294388807610659</v>
      </c>
    </row>
    <row r="48" spans="1:5" ht="26.25" customHeight="1" x14ac:dyDescent="0.2">
      <c r="A48" s="96" t="s">
        <v>202</v>
      </c>
      <c r="B48" s="90">
        <f>ROUND(SUM(B49:B52),0)</f>
        <v>236066788</v>
      </c>
      <c r="C48" s="90">
        <f>ROUND(SUM(C49:C52),0)</f>
        <v>221380222</v>
      </c>
      <c r="D48" s="90">
        <f>ROUND(SUM(D49:D52),0)</f>
        <v>-14686566</v>
      </c>
      <c r="E48" s="91">
        <f t="shared" si="13"/>
        <v>93.778639458592536</v>
      </c>
    </row>
    <row r="49" spans="1:5" ht="25.5" x14ac:dyDescent="0.2">
      <c r="A49" s="96" t="s">
        <v>203</v>
      </c>
      <c r="B49" s="94">
        <v>50950573</v>
      </c>
      <c r="C49" s="94">
        <v>47608697</v>
      </c>
      <c r="D49" s="93">
        <f t="shared" ref="D49:D52" si="14">+C49-B49</f>
        <v>-3341876</v>
      </c>
      <c r="E49" s="95">
        <f t="shared" si="13"/>
        <v>93.440945207819354</v>
      </c>
    </row>
    <row r="50" spans="1:5" ht="25.5" x14ac:dyDescent="0.2">
      <c r="A50" s="106" t="s">
        <v>204</v>
      </c>
      <c r="B50" s="94">
        <v>180662437</v>
      </c>
      <c r="C50" s="94">
        <v>168628447</v>
      </c>
      <c r="D50" s="93">
        <f t="shared" si="14"/>
        <v>-12033990</v>
      </c>
      <c r="E50" s="95">
        <f t="shared" si="13"/>
        <v>93.338963981760088</v>
      </c>
    </row>
    <row r="51" spans="1:5" ht="14.25" customHeight="1" x14ac:dyDescent="0.2">
      <c r="A51" s="106" t="s">
        <v>205</v>
      </c>
      <c r="B51" s="94">
        <v>2422603</v>
      </c>
      <c r="C51" s="94">
        <v>3427060</v>
      </c>
      <c r="D51" s="93">
        <f t="shared" si="14"/>
        <v>1004457</v>
      </c>
      <c r="E51" s="95">
        <f t="shared" si="13"/>
        <v>141.46189037163745</v>
      </c>
    </row>
    <row r="52" spans="1:5" x14ac:dyDescent="0.2">
      <c r="A52" s="106" t="s">
        <v>206</v>
      </c>
      <c r="B52" s="94">
        <v>2031175</v>
      </c>
      <c r="C52" s="94">
        <v>1716018</v>
      </c>
      <c r="D52" s="93">
        <f t="shared" si="14"/>
        <v>-315157</v>
      </c>
      <c r="E52" s="95">
        <f t="shared" si="13"/>
        <v>84.484005563282338</v>
      </c>
    </row>
    <row r="53" spans="1:5" x14ac:dyDescent="0.2">
      <c r="A53" s="96" t="s">
        <v>207</v>
      </c>
      <c r="B53" s="90">
        <f>ROUND((+B54+B55+B56+B57),0)</f>
        <v>30504</v>
      </c>
      <c r="C53" s="90">
        <f t="shared" ref="C53:D53" si="15">ROUND((+C54+C55+C56+C57),0)</f>
        <v>29468</v>
      </c>
      <c r="D53" s="90">
        <f t="shared" si="15"/>
        <v>-1036</v>
      </c>
      <c r="E53" s="95">
        <f t="shared" si="13"/>
        <v>96.603724101757152</v>
      </c>
    </row>
    <row r="54" spans="1:5" x14ac:dyDescent="0.2">
      <c r="A54" s="106" t="s">
        <v>208</v>
      </c>
      <c r="B54" s="93">
        <v>0</v>
      </c>
      <c r="C54" s="94">
        <v>0</v>
      </c>
      <c r="D54" s="107">
        <v>0</v>
      </c>
      <c r="E54" s="95">
        <v>0</v>
      </c>
    </row>
    <row r="55" spans="1:5" x14ac:dyDescent="0.2">
      <c r="A55" s="96" t="s">
        <v>209</v>
      </c>
      <c r="B55" s="93">
        <v>0</v>
      </c>
      <c r="C55" s="94">
        <v>0</v>
      </c>
      <c r="D55" s="107">
        <v>0</v>
      </c>
      <c r="E55" s="95">
        <v>0</v>
      </c>
    </row>
    <row r="56" spans="1:5" x14ac:dyDescent="0.2">
      <c r="A56" s="96" t="s">
        <v>210</v>
      </c>
      <c r="B56" s="93">
        <v>30504</v>
      </c>
      <c r="C56" s="94">
        <v>29468</v>
      </c>
      <c r="D56" s="93">
        <f t="shared" ref="D56" si="16">+C56-B56</f>
        <v>-1036</v>
      </c>
      <c r="E56" s="95">
        <f t="shared" si="13"/>
        <v>96.603724101757152</v>
      </c>
    </row>
    <row r="57" spans="1:5" x14ac:dyDescent="0.2">
      <c r="A57" s="106" t="s">
        <v>211</v>
      </c>
      <c r="B57" s="93">
        <v>0</v>
      </c>
      <c r="C57" s="94">
        <v>0</v>
      </c>
      <c r="D57" s="107">
        <v>0</v>
      </c>
      <c r="E57" s="108">
        <v>0</v>
      </c>
    </row>
    <row r="58" spans="1:5" ht="38.25" x14ac:dyDescent="0.2">
      <c r="A58" s="96" t="s">
        <v>212</v>
      </c>
      <c r="B58" s="93">
        <v>0</v>
      </c>
      <c r="C58" s="94">
        <v>0</v>
      </c>
      <c r="D58" s="93">
        <v>0</v>
      </c>
      <c r="E58" s="108">
        <v>0</v>
      </c>
    </row>
    <row r="59" spans="1:5" x14ac:dyDescent="0.2">
      <c r="A59" s="96" t="s">
        <v>213</v>
      </c>
      <c r="B59" s="93">
        <v>0</v>
      </c>
      <c r="C59" s="94">
        <v>0</v>
      </c>
      <c r="D59" s="93">
        <v>0</v>
      </c>
      <c r="E59" s="108">
        <v>0</v>
      </c>
    </row>
    <row r="60" spans="1:5" ht="25.5" x14ac:dyDescent="0.2">
      <c r="A60" s="106" t="s">
        <v>214</v>
      </c>
      <c r="B60" s="93">
        <v>0</v>
      </c>
      <c r="C60" s="94">
        <v>0</v>
      </c>
      <c r="D60" s="93">
        <v>0</v>
      </c>
      <c r="E60" s="108">
        <v>0</v>
      </c>
    </row>
    <row r="61" spans="1:5" ht="26.25" thickBot="1" x14ac:dyDescent="0.25">
      <c r="A61" s="96" t="s">
        <v>215</v>
      </c>
      <c r="B61" s="93">
        <v>0</v>
      </c>
      <c r="C61" s="94">
        <v>0</v>
      </c>
      <c r="D61" s="93">
        <v>0</v>
      </c>
      <c r="E61" s="108">
        <v>0</v>
      </c>
    </row>
    <row r="62" spans="1:5" ht="13.5" thickBot="1" x14ac:dyDescent="0.25">
      <c r="A62" s="69" t="s">
        <v>168</v>
      </c>
      <c r="B62" s="70" t="s">
        <v>169</v>
      </c>
      <c r="C62" s="70" t="s">
        <v>170</v>
      </c>
      <c r="D62" s="71" t="s">
        <v>171</v>
      </c>
      <c r="E62" s="71" t="s">
        <v>172</v>
      </c>
    </row>
    <row r="63" spans="1:5" x14ac:dyDescent="0.2">
      <c r="A63" s="89" t="s">
        <v>174</v>
      </c>
      <c r="B63" s="90"/>
      <c r="C63" s="90"/>
      <c r="D63" s="90"/>
      <c r="E63" s="91"/>
    </row>
    <row r="64" spans="1:5" ht="25.5" x14ac:dyDescent="0.2">
      <c r="A64" s="96" t="s">
        <v>216</v>
      </c>
      <c r="B64" s="90">
        <f>ROUND((+B65+B67+B66),0)</f>
        <v>1629173</v>
      </c>
      <c r="C64" s="90">
        <f t="shared" ref="C64:D64" si="17">ROUND((+C65+C67+C66),0)</f>
        <v>1360247</v>
      </c>
      <c r="D64" s="90">
        <f t="shared" si="17"/>
        <v>-268926</v>
      </c>
      <c r="E64" s="91">
        <f t="shared" ref="E64:E106" si="18">+C64/B64*100</f>
        <v>83.493097418137921</v>
      </c>
    </row>
    <row r="65" spans="1:5" ht="38.25" x14ac:dyDescent="0.2">
      <c r="A65" s="106" t="s">
        <v>217</v>
      </c>
      <c r="B65" s="93">
        <v>0</v>
      </c>
      <c r="C65" s="94">
        <v>0</v>
      </c>
      <c r="D65" s="93">
        <v>0</v>
      </c>
      <c r="E65" s="95">
        <v>0</v>
      </c>
    </row>
    <row r="66" spans="1:5" ht="25.5" x14ac:dyDescent="0.2">
      <c r="A66" s="96" t="s">
        <v>218</v>
      </c>
      <c r="B66" s="93">
        <v>1626755</v>
      </c>
      <c r="C66" s="94">
        <v>1356481</v>
      </c>
      <c r="D66" s="93">
        <f t="shared" ref="D66:D106" si="19">+C66-B66</f>
        <v>-270274</v>
      </c>
      <c r="E66" s="95">
        <f t="shared" si="18"/>
        <v>83.385697293077328</v>
      </c>
    </row>
    <row r="67" spans="1:5" ht="38.25" x14ac:dyDescent="0.2">
      <c r="A67" s="96" t="s">
        <v>219</v>
      </c>
      <c r="B67" s="93">
        <v>2418</v>
      </c>
      <c r="C67" s="94">
        <v>3766</v>
      </c>
      <c r="D67" s="93">
        <f t="shared" si="19"/>
        <v>1348</v>
      </c>
      <c r="E67" s="95">
        <f t="shared" si="18"/>
        <v>155.74855252274605</v>
      </c>
    </row>
    <row r="68" spans="1:5" ht="25.5" x14ac:dyDescent="0.2">
      <c r="A68" s="106" t="s">
        <v>220</v>
      </c>
      <c r="B68" s="90">
        <v>2194775</v>
      </c>
      <c r="C68" s="98">
        <v>1922366</v>
      </c>
      <c r="D68" s="90">
        <f t="shared" si="19"/>
        <v>-272409</v>
      </c>
      <c r="E68" s="91">
        <f t="shared" si="18"/>
        <v>87.588294927726068</v>
      </c>
    </row>
    <row r="69" spans="1:5" x14ac:dyDescent="0.2">
      <c r="A69" s="96" t="s">
        <v>221</v>
      </c>
      <c r="B69" s="90">
        <v>63225</v>
      </c>
      <c r="C69" s="98">
        <v>117375</v>
      </c>
      <c r="D69" s="90">
        <f t="shared" si="19"/>
        <v>54150</v>
      </c>
      <c r="E69" s="91">
        <f t="shared" si="18"/>
        <v>185.64650059311981</v>
      </c>
    </row>
    <row r="70" spans="1:5" ht="25.5" x14ac:dyDescent="0.2">
      <c r="A70" s="96" t="s">
        <v>222</v>
      </c>
      <c r="B70" s="90">
        <f>ROUND((+B71+B72+B73),0)</f>
        <v>6671228</v>
      </c>
      <c r="C70" s="90">
        <f t="shared" ref="C70:D70" si="20">ROUND((+C71+C72+C73),0)</f>
        <v>6374583</v>
      </c>
      <c r="D70" s="90">
        <f t="shared" si="20"/>
        <v>-296645</v>
      </c>
      <c r="E70" s="91">
        <f t="shared" si="18"/>
        <v>95.553367386034466</v>
      </c>
    </row>
    <row r="71" spans="1:5" x14ac:dyDescent="0.2">
      <c r="A71" s="106" t="s">
        <v>223</v>
      </c>
      <c r="B71" s="93">
        <v>6401302</v>
      </c>
      <c r="C71" s="94">
        <v>6110964</v>
      </c>
      <c r="D71" s="93">
        <f t="shared" si="19"/>
        <v>-290338</v>
      </c>
      <c r="E71" s="95">
        <f t="shared" si="18"/>
        <v>95.464391462861769</v>
      </c>
    </row>
    <row r="72" spans="1:5" ht="25.5" x14ac:dyDescent="0.2">
      <c r="A72" s="96" t="s">
        <v>224</v>
      </c>
      <c r="B72" s="93">
        <v>258184</v>
      </c>
      <c r="C72" s="94">
        <v>254792</v>
      </c>
      <c r="D72" s="93">
        <f t="shared" si="19"/>
        <v>-3392</v>
      </c>
      <c r="E72" s="95">
        <f t="shared" si="18"/>
        <v>98.686208285563779</v>
      </c>
    </row>
    <row r="73" spans="1:5" x14ac:dyDescent="0.2">
      <c r="A73" s="96" t="s">
        <v>225</v>
      </c>
      <c r="B73" s="93">
        <v>11742</v>
      </c>
      <c r="C73" s="94">
        <v>8827</v>
      </c>
      <c r="D73" s="93">
        <f t="shared" si="19"/>
        <v>-2915</v>
      </c>
      <c r="E73" s="95">
        <f t="shared" si="18"/>
        <v>75.174586952818942</v>
      </c>
    </row>
    <row r="74" spans="1:5" ht="25.5" x14ac:dyDescent="0.2">
      <c r="A74" s="106" t="s">
        <v>226</v>
      </c>
      <c r="B74" s="98">
        <f>ROUND(SUM(B75:B81),0)</f>
        <v>1027493541</v>
      </c>
      <c r="C74" s="98">
        <f>ROUND(SUM(C75:C81),0)</f>
        <v>894222262</v>
      </c>
      <c r="D74" s="98">
        <f>ROUND(SUM(D75:D81),0)</f>
        <v>-133271279</v>
      </c>
      <c r="E74" s="91">
        <f t="shared" si="18"/>
        <v>87.029477687003777</v>
      </c>
    </row>
    <row r="75" spans="1:5" x14ac:dyDescent="0.2">
      <c r="A75" s="106" t="s">
        <v>227</v>
      </c>
      <c r="B75" s="94">
        <v>151410935</v>
      </c>
      <c r="C75" s="94">
        <v>126608843</v>
      </c>
      <c r="D75" s="93">
        <f t="shared" ref="D75:D81" si="21">+C75-B75</f>
        <v>-24802092</v>
      </c>
      <c r="E75" s="95">
        <f t="shared" si="18"/>
        <v>83.619352195401206</v>
      </c>
    </row>
    <row r="76" spans="1:5" x14ac:dyDescent="0.2">
      <c r="A76" s="106" t="s">
        <v>228</v>
      </c>
      <c r="B76" s="94">
        <v>650978473</v>
      </c>
      <c r="C76" s="94">
        <v>555432884</v>
      </c>
      <c r="D76" s="93">
        <f t="shared" si="21"/>
        <v>-95545589</v>
      </c>
      <c r="E76" s="95">
        <f t="shared" si="18"/>
        <v>85.322772877621716</v>
      </c>
    </row>
    <row r="77" spans="1:5" x14ac:dyDescent="0.2">
      <c r="A77" s="106" t="s">
        <v>229</v>
      </c>
      <c r="B77" s="94">
        <v>164440882</v>
      </c>
      <c r="C77" s="94">
        <v>154107781</v>
      </c>
      <c r="D77" s="93">
        <f t="shared" si="21"/>
        <v>-10333101</v>
      </c>
      <c r="E77" s="95">
        <f t="shared" si="18"/>
        <v>93.71622137127676</v>
      </c>
    </row>
    <row r="78" spans="1:5" x14ac:dyDescent="0.2">
      <c r="A78" s="106" t="s">
        <v>230</v>
      </c>
      <c r="B78" s="94">
        <v>13122526</v>
      </c>
      <c r="C78" s="94">
        <f>58072754-C79-C80-C81</f>
        <v>12818507</v>
      </c>
      <c r="D78" s="93">
        <f t="shared" si="21"/>
        <v>-304019</v>
      </c>
      <c r="E78" s="95">
        <f t="shared" si="18"/>
        <v>97.68322806142659</v>
      </c>
    </row>
    <row r="79" spans="1:5" x14ac:dyDescent="0.2">
      <c r="A79" s="106" t="s">
        <v>231</v>
      </c>
      <c r="B79" s="94">
        <v>275209</v>
      </c>
      <c r="C79" s="94">
        <v>285048</v>
      </c>
      <c r="D79" s="93">
        <f t="shared" si="21"/>
        <v>9839</v>
      </c>
      <c r="E79" s="95">
        <f t="shared" si="18"/>
        <v>103.5751011049784</v>
      </c>
    </row>
    <row r="80" spans="1:5" x14ac:dyDescent="0.2">
      <c r="A80" s="106" t="s">
        <v>232</v>
      </c>
      <c r="B80" s="94">
        <v>23475523</v>
      </c>
      <c r="C80" s="94">
        <v>20835277</v>
      </c>
      <c r="D80" s="93">
        <f t="shared" si="21"/>
        <v>-2640246</v>
      </c>
      <c r="E80" s="95">
        <f t="shared" si="18"/>
        <v>88.753196254669177</v>
      </c>
    </row>
    <row r="81" spans="1:5" x14ac:dyDescent="0.2">
      <c r="A81" s="106" t="s">
        <v>233</v>
      </c>
      <c r="B81" s="94">
        <v>23789993</v>
      </c>
      <c r="C81" s="94">
        <v>24133922</v>
      </c>
      <c r="D81" s="93">
        <f t="shared" si="21"/>
        <v>343929</v>
      </c>
      <c r="E81" s="95">
        <f t="shared" si="18"/>
        <v>101.44568768893711</v>
      </c>
    </row>
    <row r="82" spans="1:5" x14ac:dyDescent="0.2">
      <c r="A82" s="96" t="s">
        <v>234</v>
      </c>
      <c r="B82" s="98">
        <f>ROUND(SUM(B83:B86),0)</f>
        <v>26673608</v>
      </c>
      <c r="C82" s="98">
        <f t="shared" ref="C82:D82" si="22">ROUND(SUM(C83:C86),0)</f>
        <v>26264601</v>
      </c>
      <c r="D82" s="98">
        <f t="shared" si="22"/>
        <v>-409007</v>
      </c>
      <c r="E82" s="91">
        <f t="shared" si="18"/>
        <v>98.466622888062233</v>
      </c>
    </row>
    <row r="83" spans="1:5" x14ac:dyDescent="0.2">
      <c r="A83" s="96" t="s">
        <v>235</v>
      </c>
      <c r="B83" s="93">
        <v>3213437</v>
      </c>
      <c r="C83" s="94">
        <v>398102</v>
      </c>
      <c r="D83" s="93">
        <f t="shared" si="19"/>
        <v>-2815335</v>
      </c>
      <c r="E83" s="95">
        <f t="shared" si="18"/>
        <v>12.388666714175507</v>
      </c>
    </row>
    <row r="84" spans="1:5" x14ac:dyDescent="0.2">
      <c r="A84" s="106" t="s">
        <v>236</v>
      </c>
      <c r="B84" s="93">
        <v>8507306</v>
      </c>
      <c r="C84" s="94">
        <v>9257709</v>
      </c>
      <c r="D84" s="93">
        <f t="shared" si="19"/>
        <v>750403</v>
      </c>
      <c r="E84" s="95">
        <f t="shared" si="18"/>
        <v>108.82068894665362</v>
      </c>
    </row>
    <row r="85" spans="1:5" x14ac:dyDescent="0.2">
      <c r="A85" s="96" t="s">
        <v>237</v>
      </c>
      <c r="B85" s="93">
        <v>10302369</v>
      </c>
      <c r="C85" s="94">
        <v>11894552</v>
      </c>
      <c r="D85" s="93">
        <f t="shared" si="19"/>
        <v>1592183</v>
      </c>
      <c r="E85" s="95">
        <f t="shared" si="18"/>
        <v>115.45453283608849</v>
      </c>
    </row>
    <row r="86" spans="1:5" x14ac:dyDescent="0.2">
      <c r="A86" s="96" t="s">
        <v>238</v>
      </c>
      <c r="B86" s="93">
        <v>4650496</v>
      </c>
      <c r="C86" s="94">
        <v>4714238</v>
      </c>
      <c r="D86" s="93">
        <f t="shared" si="19"/>
        <v>63742</v>
      </c>
      <c r="E86" s="95">
        <f t="shared" si="18"/>
        <v>101.37064949631178</v>
      </c>
    </row>
    <row r="87" spans="1:5" ht="25.5" x14ac:dyDescent="0.2">
      <c r="A87" s="96" t="s">
        <v>239</v>
      </c>
      <c r="B87" s="98">
        <f t="shared" ref="B87:D87" si="23">ROUND(SUM(B88:B89),0)</f>
        <v>217000000</v>
      </c>
      <c r="C87" s="98">
        <f t="shared" si="23"/>
        <v>198494898</v>
      </c>
      <c r="D87" s="98">
        <f t="shared" si="23"/>
        <v>-18505102</v>
      </c>
      <c r="E87" s="91">
        <f t="shared" si="18"/>
        <v>91.472303225806456</v>
      </c>
    </row>
    <row r="88" spans="1:5" x14ac:dyDescent="0.2">
      <c r="A88" s="106" t="s">
        <v>240</v>
      </c>
      <c r="B88" s="93">
        <v>189806251</v>
      </c>
      <c r="C88" s="94">
        <v>171353970</v>
      </c>
      <c r="D88" s="93">
        <f t="shared" si="19"/>
        <v>-18452281</v>
      </c>
      <c r="E88" s="95">
        <f t="shared" si="18"/>
        <v>90.278359694275821</v>
      </c>
    </row>
    <row r="89" spans="1:5" x14ac:dyDescent="0.2">
      <c r="A89" s="96" t="s">
        <v>241</v>
      </c>
      <c r="B89" s="93">
        <v>27193749</v>
      </c>
      <c r="C89" s="94">
        <v>27140928</v>
      </c>
      <c r="D89" s="93">
        <f t="shared" si="19"/>
        <v>-52821</v>
      </c>
      <c r="E89" s="95">
        <f t="shared" si="18"/>
        <v>99.805760507681384</v>
      </c>
    </row>
    <row r="90" spans="1:5" x14ac:dyDescent="0.2">
      <c r="A90" s="96" t="s">
        <v>242</v>
      </c>
      <c r="B90" s="90">
        <v>90692853</v>
      </c>
      <c r="C90" s="98">
        <v>80143579</v>
      </c>
      <c r="D90" s="90">
        <f t="shared" si="19"/>
        <v>-10549274</v>
      </c>
      <c r="E90" s="91">
        <f t="shared" si="18"/>
        <v>88.368130838270133</v>
      </c>
    </row>
    <row r="91" spans="1:5" ht="63.75" x14ac:dyDescent="0.2">
      <c r="A91" s="106" t="s">
        <v>243</v>
      </c>
      <c r="B91" s="90">
        <f>ROUND(SUM(B92:B96),0)</f>
        <v>16712715</v>
      </c>
      <c r="C91" s="90">
        <f t="shared" ref="C91:D91" si="24">ROUND(SUM(C92:C96),0)</f>
        <v>16831400</v>
      </c>
      <c r="D91" s="90">
        <f t="shared" si="24"/>
        <v>118685</v>
      </c>
      <c r="E91" s="91">
        <f t="shared" si="18"/>
        <v>100.71014793227791</v>
      </c>
    </row>
    <row r="92" spans="1:5" x14ac:dyDescent="0.2">
      <c r="A92" s="96" t="s">
        <v>244</v>
      </c>
      <c r="B92" s="93">
        <v>328444</v>
      </c>
      <c r="C92" s="94">
        <v>150818</v>
      </c>
      <c r="D92" s="93">
        <f t="shared" si="19"/>
        <v>-177626</v>
      </c>
      <c r="E92" s="95">
        <f t="shared" si="18"/>
        <v>45.918938997211093</v>
      </c>
    </row>
    <row r="93" spans="1:5" ht="25.5" x14ac:dyDescent="0.2">
      <c r="A93" s="96" t="s">
        <v>245</v>
      </c>
      <c r="B93" s="93">
        <v>0</v>
      </c>
      <c r="C93" s="94">
        <v>0</v>
      </c>
      <c r="D93" s="93">
        <f t="shared" si="19"/>
        <v>0</v>
      </c>
      <c r="E93" s="95">
        <v>0</v>
      </c>
    </row>
    <row r="94" spans="1:5" ht="25.5" x14ac:dyDescent="0.2">
      <c r="A94" s="106" t="s">
        <v>246</v>
      </c>
      <c r="B94" s="93">
        <v>2447316</v>
      </c>
      <c r="C94" s="94">
        <v>2306952</v>
      </c>
      <c r="D94" s="93">
        <f t="shared" si="19"/>
        <v>-140364</v>
      </c>
      <c r="E94" s="95">
        <f t="shared" si="18"/>
        <v>94.264573925067296</v>
      </c>
    </row>
    <row r="95" spans="1:5" x14ac:dyDescent="0.2">
      <c r="A95" s="109" t="s">
        <v>247</v>
      </c>
      <c r="B95" s="93">
        <v>5588399</v>
      </c>
      <c r="C95" s="94">
        <v>5636177</v>
      </c>
      <c r="D95" s="93">
        <f t="shared" si="19"/>
        <v>47778</v>
      </c>
      <c r="E95" s="95">
        <f t="shared" si="18"/>
        <v>100.85494969131588</v>
      </c>
    </row>
    <row r="96" spans="1:5" ht="25.5" x14ac:dyDescent="0.2">
      <c r="A96" s="96" t="s">
        <v>248</v>
      </c>
      <c r="B96" s="93">
        <v>8348556</v>
      </c>
      <c r="C96" s="94">
        <v>8737453</v>
      </c>
      <c r="D96" s="93">
        <f t="shared" si="19"/>
        <v>388897</v>
      </c>
      <c r="E96" s="95">
        <f t="shared" si="18"/>
        <v>104.65825467302369</v>
      </c>
    </row>
    <row r="97" spans="1:6" ht="25.5" x14ac:dyDescent="0.2">
      <c r="A97" s="96" t="s">
        <v>249</v>
      </c>
      <c r="B97" s="90">
        <v>343745</v>
      </c>
      <c r="C97" s="98">
        <v>364338</v>
      </c>
      <c r="D97" s="90">
        <f t="shared" si="19"/>
        <v>20593</v>
      </c>
      <c r="E97" s="91">
        <f t="shared" si="18"/>
        <v>105.99077804768069</v>
      </c>
    </row>
    <row r="98" spans="1:6" ht="25.5" x14ac:dyDescent="0.2">
      <c r="A98" s="96" t="s">
        <v>250</v>
      </c>
      <c r="B98" s="90">
        <v>9557723</v>
      </c>
      <c r="C98" s="98">
        <v>10871161</v>
      </c>
      <c r="D98" s="90">
        <f t="shared" si="19"/>
        <v>1313438</v>
      </c>
      <c r="E98" s="91">
        <f t="shared" si="18"/>
        <v>113.74216432093711</v>
      </c>
    </row>
    <row r="99" spans="1:6" ht="25.5" x14ac:dyDescent="0.2">
      <c r="A99" s="96" t="s">
        <v>251</v>
      </c>
      <c r="B99" s="90">
        <v>10619079</v>
      </c>
      <c r="C99" s="98">
        <v>13299636</v>
      </c>
      <c r="D99" s="90">
        <f t="shared" si="19"/>
        <v>2680557</v>
      </c>
      <c r="E99" s="91">
        <f t="shared" si="18"/>
        <v>125.24283885636409</v>
      </c>
      <c r="F99" s="68"/>
    </row>
    <row r="100" spans="1:6" ht="25.5" x14ac:dyDescent="0.2">
      <c r="A100" s="96" t="s">
        <v>252</v>
      </c>
      <c r="B100" s="90">
        <v>11270787</v>
      </c>
      <c r="C100" s="98">
        <v>9191914</v>
      </c>
      <c r="D100" s="90">
        <f t="shared" si="19"/>
        <v>-2078873</v>
      </c>
      <c r="E100" s="91">
        <f t="shared" si="18"/>
        <v>81.555209942304828</v>
      </c>
    </row>
    <row r="101" spans="1:6" x14ac:dyDescent="0.2">
      <c r="A101" s="96" t="s">
        <v>253</v>
      </c>
      <c r="B101" s="90">
        <v>2412593</v>
      </c>
      <c r="C101" s="98">
        <v>911913</v>
      </c>
      <c r="D101" s="90">
        <f t="shared" si="19"/>
        <v>-1500680</v>
      </c>
      <c r="E101" s="91">
        <f t="shared" si="18"/>
        <v>37.798045505396061</v>
      </c>
    </row>
    <row r="102" spans="1:6" x14ac:dyDescent="0.2">
      <c r="A102" s="97" t="s">
        <v>189</v>
      </c>
      <c r="B102" s="98">
        <f>ROUND(SUM(B103:B105),0)</f>
        <v>61721594</v>
      </c>
      <c r="C102" s="98">
        <f>ROUND(SUM(C103:C105),0)</f>
        <v>56428039</v>
      </c>
      <c r="D102" s="98">
        <f t="shared" ref="D102" si="25">ROUND(SUM(D103:D105),0)</f>
        <v>-5293555</v>
      </c>
      <c r="E102" s="91">
        <f t="shared" si="18"/>
        <v>91.423495964799613</v>
      </c>
    </row>
    <row r="103" spans="1:6" x14ac:dyDescent="0.2">
      <c r="A103" s="96" t="s">
        <v>190</v>
      </c>
      <c r="B103" s="93">
        <v>49336222</v>
      </c>
      <c r="C103" s="94">
        <v>35459715</v>
      </c>
      <c r="D103" s="93">
        <f t="shared" si="19"/>
        <v>-13876507</v>
      </c>
      <c r="E103" s="95">
        <f t="shared" si="18"/>
        <v>71.873592185473782</v>
      </c>
    </row>
    <row r="104" spans="1:6" x14ac:dyDescent="0.2">
      <c r="A104" s="96" t="s">
        <v>191</v>
      </c>
      <c r="B104" s="93">
        <v>6142501</v>
      </c>
      <c r="C104" s="94">
        <v>10166695</v>
      </c>
      <c r="D104" s="93">
        <f t="shared" si="19"/>
        <v>4024194</v>
      </c>
      <c r="E104" s="95">
        <f t="shared" si="18"/>
        <v>165.51393316826486</v>
      </c>
    </row>
    <row r="105" spans="1:6" x14ac:dyDescent="0.2">
      <c r="A105" s="96" t="s">
        <v>192</v>
      </c>
      <c r="B105" s="93">
        <v>6242871</v>
      </c>
      <c r="C105" s="94">
        <v>10801629</v>
      </c>
      <c r="D105" s="93">
        <f t="shared" si="19"/>
        <v>4558758</v>
      </c>
      <c r="E105" s="95">
        <f t="shared" si="18"/>
        <v>173.02342143542612</v>
      </c>
    </row>
    <row r="106" spans="1:6" ht="39" thickBot="1" x14ac:dyDescent="0.25">
      <c r="A106" s="99" t="s">
        <v>254</v>
      </c>
      <c r="B106" s="100">
        <v>805064</v>
      </c>
      <c r="C106" s="110">
        <v>567864</v>
      </c>
      <c r="D106" s="100">
        <f t="shared" si="19"/>
        <v>-237200</v>
      </c>
      <c r="E106" s="102">
        <f t="shared" si="18"/>
        <v>70.536503930122336</v>
      </c>
      <c r="F106" s="68"/>
    </row>
    <row r="107" spans="1:6" x14ac:dyDescent="0.2">
      <c r="A107" s="111"/>
      <c r="B107" s="111"/>
      <c r="C107" s="112"/>
      <c r="D107" s="111"/>
      <c r="E107" s="111"/>
    </row>
    <row r="108" spans="1:6" ht="13.5" thickBot="1" x14ac:dyDescent="0.25">
      <c r="A108" s="113"/>
      <c r="B108" s="111"/>
      <c r="C108" s="114"/>
      <c r="D108" s="111"/>
      <c r="E108" s="111"/>
    </row>
    <row r="109" spans="1:6" ht="13.5" thickBot="1" x14ac:dyDescent="0.25">
      <c r="A109" s="69" t="s">
        <v>168</v>
      </c>
      <c r="B109" s="70" t="s">
        <v>169</v>
      </c>
      <c r="C109" s="70" t="s">
        <v>170</v>
      </c>
      <c r="D109" s="71" t="s">
        <v>171</v>
      </c>
      <c r="E109" s="71" t="s">
        <v>172</v>
      </c>
    </row>
    <row r="110" spans="1:6" x14ac:dyDescent="0.2">
      <c r="A110" s="89" t="s">
        <v>175</v>
      </c>
      <c r="B110" s="90">
        <f>ROUND(+B111+B117+B121,0)</f>
        <v>45792731</v>
      </c>
      <c r="C110" s="90">
        <f t="shared" ref="C110:D110" si="26">ROUND(+C111+C117+C121,0)</f>
        <v>125092290</v>
      </c>
      <c r="D110" s="90">
        <f t="shared" si="26"/>
        <v>79299559</v>
      </c>
      <c r="E110" s="91">
        <f t="shared" ref="E110:E119" si="27">+C110/B110*100</f>
        <v>273.17062614151581</v>
      </c>
    </row>
    <row r="111" spans="1:6" x14ac:dyDescent="0.2">
      <c r="A111" s="97" t="s">
        <v>255</v>
      </c>
      <c r="B111" s="90">
        <f>ROUND((+B112+B115+B116),0)</f>
        <v>39003916</v>
      </c>
      <c r="C111" s="90">
        <f t="shared" ref="C111" si="28">ROUND((+C112+C115+C116),0)</f>
        <v>90875989</v>
      </c>
      <c r="D111" s="90">
        <f>ROUND((+D112+D115+D116),0)</f>
        <v>51872073</v>
      </c>
      <c r="E111" s="91">
        <f t="shared" si="27"/>
        <v>232.99196162764787</v>
      </c>
    </row>
    <row r="112" spans="1:6" ht="25.5" x14ac:dyDescent="0.2">
      <c r="A112" s="106" t="s">
        <v>256</v>
      </c>
      <c r="B112" s="90">
        <f>ROUND(SUM(B113:B114),0)</f>
        <v>162217</v>
      </c>
      <c r="C112" s="90">
        <f t="shared" ref="C112:D112" si="29">ROUND(SUM(C113:C114),0)</f>
        <v>190307</v>
      </c>
      <c r="D112" s="90">
        <f t="shared" si="29"/>
        <v>28090</v>
      </c>
      <c r="E112" s="91">
        <f t="shared" si="27"/>
        <v>117.31631086754162</v>
      </c>
    </row>
    <row r="113" spans="1:8" x14ac:dyDescent="0.2">
      <c r="A113" s="106" t="s">
        <v>257</v>
      </c>
      <c r="B113" s="93">
        <v>0</v>
      </c>
      <c r="C113" s="94">
        <v>0</v>
      </c>
      <c r="D113" s="107">
        <f t="shared" ref="D113:D116" si="30">+C113-B113</f>
        <v>0</v>
      </c>
      <c r="E113" s="95">
        <v>0</v>
      </c>
    </row>
    <row r="114" spans="1:8" x14ac:dyDescent="0.2">
      <c r="A114" s="115" t="s">
        <v>258</v>
      </c>
      <c r="B114" s="93">
        <v>162217</v>
      </c>
      <c r="C114" s="94">
        <v>190307</v>
      </c>
      <c r="D114" s="93">
        <f t="shared" si="30"/>
        <v>28090</v>
      </c>
      <c r="E114" s="95">
        <f t="shared" si="27"/>
        <v>117.31631086754162</v>
      </c>
    </row>
    <row r="115" spans="1:8" x14ac:dyDescent="0.2">
      <c r="A115" s="115" t="s">
        <v>259</v>
      </c>
      <c r="B115" s="93">
        <v>38806762</v>
      </c>
      <c r="C115" s="94">
        <v>90646419</v>
      </c>
      <c r="D115" s="93">
        <f t="shared" si="30"/>
        <v>51839657</v>
      </c>
      <c r="E115" s="95">
        <f t="shared" si="27"/>
        <v>233.5840825884932</v>
      </c>
    </row>
    <row r="116" spans="1:8" x14ac:dyDescent="0.2">
      <c r="A116" s="115" t="s">
        <v>260</v>
      </c>
      <c r="B116" s="93">
        <v>34937</v>
      </c>
      <c r="C116" s="94">
        <v>39263</v>
      </c>
      <c r="D116" s="93">
        <f t="shared" si="30"/>
        <v>4326</v>
      </c>
      <c r="E116" s="95">
        <f t="shared" si="27"/>
        <v>112.3822881186135</v>
      </c>
    </row>
    <row r="117" spans="1:8" x14ac:dyDescent="0.2">
      <c r="A117" s="97" t="s">
        <v>261</v>
      </c>
      <c r="B117" s="90">
        <f>ROUND(SUM(B118:B120),0)</f>
        <v>6788815</v>
      </c>
      <c r="C117" s="90">
        <f t="shared" ref="C117" si="31">ROUND(SUM(C118:C120),0)</f>
        <v>34216301</v>
      </c>
      <c r="D117" s="90">
        <f>ROUND(SUM(D118:D120),0)</f>
        <v>27427486</v>
      </c>
      <c r="E117" s="91">
        <f t="shared" si="27"/>
        <v>504.00991925689533</v>
      </c>
    </row>
    <row r="118" spans="1:8" ht="25.5" x14ac:dyDescent="0.2">
      <c r="A118" s="106" t="s">
        <v>262</v>
      </c>
      <c r="B118" s="93">
        <v>6582975</v>
      </c>
      <c r="C118" s="94">
        <v>32874081</v>
      </c>
      <c r="D118" s="93">
        <f t="shared" ref="D118:D119" si="32">+C118-B118</f>
        <v>26291106</v>
      </c>
      <c r="E118" s="95">
        <f t="shared" si="27"/>
        <v>499.38031057386667</v>
      </c>
    </row>
    <row r="119" spans="1:8" ht="26.25" customHeight="1" x14ac:dyDescent="0.2">
      <c r="A119" s="116" t="s">
        <v>263</v>
      </c>
      <c r="B119" s="93">
        <v>205840</v>
      </c>
      <c r="C119" s="94">
        <v>1342220</v>
      </c>
      <c r="D119" s="93">
        <f t="shared" si="32"/>
        <v>1136380</v>
      </c>
      <c r="E119" s="95">
        <f t="shared" si="27"/>
        <v>652.06956859696857</v>
      </c>
    </row>
    <row r="120" spans="1:8" x14ac:dyDescent="0.2">
      <c r="A120" s="106" t="s">
        <v>264</v>
      </c>
      <c r="B120" s="90">
        <v>0</v>
      </c>
      <c r="C120" s="98">
        <v>0</v>
      </c>
      <c r="D120" s="117">
        <f>+C120-B120</f>
        <v>0</v>
      </c>
      <c r="E120" s="95">
        <v>0</v>
      </c>
    </row>
    <row r="121" spans="1:8" ht="39" thickBot="1" x14ac:dyDescent="0.25">
      <c r="A121" s="118" t="s">
        <v>265</v>
      </c>
      <c r="B121" s="100">
        <v>0</v>
      </c>
      <c r="C121" s="110">
        <v>0</v>
      </c>
      <c r="D121" s="100">
        <f>+C121-B121</f>
        <v>0</v>
      </c>
      <c r="E121" s="102">
        <v>0</v>
      </c>
    </row>
    <row r="122" spans="1:8" x14ac:dyDescent="0.2">
      <c r="A122" s="119"/>
      <c r="C122" s="120"/>
    </row>
    <row r="123" spans="1:8" ht="14.25" customHeight="1" thickBot="1" x14ac:dyDescent="0.25">
      <c r="A123" s="119"/>
      <c r="C123" s="120"/>
    </row>
    <row r="124" spans="1:8" ht="13.5" thickBot="1" x14ac:dyDescent="0.25">
      <c r="A124" s="69" t="s">
        <v>168</v>
      </c>
      <c r="B124" s="70" t="s">
        <v>169</v>
      </c>
      <c r="C124" s="70" t="s">
        <v>170</v>
      </c>
      <c r="D124" s="71" t="s">
        <v>171</v>
      </c>
      <c r="E124" s="71" t="s">
        <v>172</v>
      </c>
    </row>
    <row r="125" spans="1:8" x14ac:dyDescent="0.2">
      <c r="A125" s="89" t="s">
        <v>176</v>
      </c>
      <c r="B125" s="90">
        <f>ROUND((+B126+B169),0)</f>
        <v>1961829144</v>
      </c>
      <c r="C125" s="90">
        <f>ROUND((+C126+C169),0)</f>
        <v>2565862380</v>
      </c>
      <c r="D125" s="90">
        <f>ROUND((+D126+D169),0)</f>
        <v>604033236</v>
      </c>
      <c r="E125" s="91">
        <f t="shared" ref="E125:E169" si="33">+C125/B125*100</f>
        <v>130.78928854978818</v>
      </c>
      <c r="H125" s="68"/>
    </row>
    <row r="126" spans="1:8" x14ac:dyDescent="0.2">
      <c r="A126" s="97" t="s">
        <v>266</v>
      </c>
      <c r="B126" s="90">
        <f>ROUND((+B127+B143+B146+B147+B150+B153+B154+B155+B156+B157+B149),0)</f>
        <v>1960068474</v>
      </c>
      <c r="C126" s="90">
        <f>ROUND((+C127+C143+C146+C147+C150+C153+C154+C155+C156+C157+C149),0)</f>
        <v>2564668016</v>
      </c>
      <c r="D126" s="90">
        <f>ROUND((+D127+D143+D146+D147+D150+D153+D154+D155+D156+D157+D149),0)</f>
        <v>604599542</v>
      </c>
      <c r="E126" s="91">
        <f t="shared" si="33"/>
        <v>130.84583778678746</v>
      </c>
    </row>
    <row r="127" spans="1:8" x14ac:dyDescent="0.2">
      <c r="A127" s="106" t="s">
        <v>267</v>
      </c>
      <c r="B127" s="90">
        <f>ROUND((SUM(B128:B139)+B140+B141+B142),0)</f>
        <v>1886843457</v>
      </c>
      <c r="C127" s="90">
        <f>ROUND((SUM(C128:C139)+C140+C141+C142),0)</f>
        <v>1994868682</v>
      </c>
      <c r="D127" s="90">
        <f>ROUND((SUM(D128:D139)+D140+D141+D142),0)</f>
        <v>108025225</v>
      </c>
      <c r="E127" s="91">
        <f t="shared" si="33"/>
        <v>105.72518216067354</v>
      </c>
    </row>
    <row r="128" spans="1:8" x14ac:dyDescent="0.2">
      <c r="A128" s="96" t="s">
        <v>268</v>
      </c>
      <c r="B128" s="93">
        <v>273550208</v>
      </c>
      <c r="C128" s="94">
        <v>339954939</v>
      </c>
      <c r="D128" s="107">
        <f t="shared" ref="D128:D152" si="34">+C128-B128</f>
        <v>66404731</v>
      </c>
      <c r="E128" s="95">
        <f t="shared" si="33"/>
        <v>124.27515280851111</v>
      </c>
    </row>
    <row r="129" spans="1:5" x14ac:dyDescent="0.2">
      <c r="A129" s="96" t="s">
        <v>269</v>
      </c>
      <c r="B129" s="93">
        <v>67796960</v>
      </c>
      <c r="C129" s="94">
        <v>55424071</v>
      </c>
      <c r="D129" s="107">
        <f t="shared" si="34"/>
        <v>-12372889</v>
      </c>
      <c r="E129" s="95">
        <f t="shared" si="33"/>
        <v>81.750082894572259</v>
      </c>
    </row>
    <row r="130" spans="1:5" x14ac:dyDescent="0.2">
      <c r="A130" s="96" t="s">
        <v>270</v>
      </c>
      <c r="B130" s="93">
        <v>1282937</v>
      </c>
      <c r="C130" s="94">
        <v>4592386</v>
      </c>
      <c r="D130" s="107">
        <f t="shared" si="34"/>
        <v>3309449</v>
      </c>
      <c r="E130" s="95">
        <f t="shared" si="33"/>
        <v>357.95880857750615</v>
      </c>
    </row>
    <row r="131" spans="1:5" ht="38.25" x14ac:dyDescent="0.2">
      <c r="A131" s="96" t="s">
        <v>271</v>
      </c>
      <c r="B131" s="93">
        <v>73480000</v>
      </c>
      <c r="C131" s="94">
        <v>75903359</v>
      </c>
      <c r="D131" s="93">
        <f t="shared" si="34"/>
        <v>2423359</v>
      </c>
      <c r="E131" s="95">
        <f t="shared" si="33"/>
        <v>103.2979844855743</v>
      </c>
    </row>
    <row r="132" spans="1:5" x14ac:dyDescent="0.2">
      <c r="A132" s="96" t="s">
        <v>272</v>
      </c>
      <c r="B132" s="93">
        <v>15528265</v>
      </c>
      <c r="C132" s="94">
        <v>23278627</v>
      </c>
      <c r="D132" s="107">
        <f t="shared" si="34"/>
        <v>7750362</v>
      </c>
      <c r="E132" s="95">
        <f t="shared" si="33"/>
        <v>149.9113197771934</v>
      </c>
    </row>
    <row r="133" spans="1:5" x14ac:dyDescent="0.2">
      <c r="A133" s="96" t="s">
        <v>273</v>
      </c>
      <c r="B133" s="93">
        <v>261707250</v>
      </c>
      <c r="C133" s="94">
        <v>296076891</v>
      </c>
      <c r="D133" s="107">
        <f t="shared" si="34"/>
        <v>34369641</v>
      </c>
      <c r="E133" s="95">
        <f t="shared" si="33"/>
        <v>113.13285780199058</v>
      </c>
    </row>
    <row r="134" spans="1:5" ht="25.5" x14ac:dyDescent="0.2">
      <c r="A134" s="96" t="s">
        <v>274</v>
      </c>
      <c r="B134" s="93">
        <v>62892465</v>
      </c>
      <c r="C134" s="94">
        <v>62892468</v>
      </c>
      <c r="D134" s="93">
        <f t="shared" si="34"/>
        <v>3</v>
      </c>
      <c r="E134" s="95">
        <f t="shared" si="33"/>
        <v>100.00000477004679</v>
      </c>
    </row>
    <row r="135" spans="1:5" ht="25.5" x14ac:dyDescent="0.2">
      <c r="A135" s="96" t="s">
        <v>275</v>
      </c>
      <c r="B135" s="93">
        <v>48432744</v>
      </c>
      <c r="C135" s="94">
        <v>47278520</v>
      </c>
      <c r="D135" s="93">
        <f t="shared" si="34"/>
        <v>-1154224</v>
      </c>
      <c r="E135" s="95">
        <f t="shared" si="33"/>
        <v>97.616851938019451</v>
      </c>
    </row>
    <row r="136" spans="1:5" ht="25.5" x14ac:dyDescent="0.2">
      <c r="A136" s="96" t="s">
        <v>276</v>
      </c>
      <c r="B136" s="93">
        <v>915807546</v>
      </c>
      <c r="C136" s="94">
        <v>882139829</v>
      </c>
      <c r="D136" s="93">
        <f t="shared" si="34"/>
        <v>-33667717</v>
      </c>
      <c r="E136" s="95">
        <f t="shared" si="33"/>
        <v>96.323712646062859</v>
      </c>
    </row>
    <row r="137" spans="1:5" ht="25.5" x14ac:dyDescent="0.2">
      <c r="A137" s="106" t="s">
        <v>277</v>
      </c>
      <c r="B137" s="93">
        <v>1252984</v>
      </c>
      <c r="C137" s="93">
        <v>3352011</v>
      </c>
      <c r="D137" s="93">
        <f t="shared" si="34"/>
        <v>2099027</v>
      </c>
      <c r="E137" s="95">
        <f t="shared" si="33"/>
        <v>267.52225088269284</v>
      </c>
    </row>
    <row r="138" spans="1:5" ht="25.5" x14ac:dyDescent="0.2">
      <c r="A138" s="106" t="s">
        <v>278</v>
      </c>
      <c r="B138" s="93">
        <v>400270</v>
      </c>
      <c r="C138" s="93">
        <v>325248</v>
      </c>
      <c r="D138" s="93">
        <f t="shared" si="34"/>
        <v>-75022</v>
      </c>
      <c r="E138" s="95">
        <f t="shared" si="33"/>
        <v>81.257151422789619</v>
      </c>
    </row>
    <row r="139" spans="1:5" ht="28.5" customHeight="1" x14ac:dyDescent="0.2">
      <c r="A139" s="96" t="s">
        <v>279</v>
      </c>
      <c r="B139" s="93">
        <v>28109152</v>
      </c>
      <c r="C139" s="94">
        <v>17806990</v>
      </c>
      <c r="D139" s="93">
        <f t="shared" si="34"/>
        <v>-10302162</v>
      </c>
      <c r="E139" s="95">
        <f t="shared" si="33"/>
        <v>63.349438645463231</v>
      </c>
    </row>
    <row r="140" spans="1:5" x14ac:dyDescent="0.2">
      <c r="A140" s="96" t="s">
        <v>280</v>
      </c>
      <c r="B140" s="93">
        <v>6679680</v>
      </c>
      <c r="C140" s="94">
        <v>6232674</v>
      </c>
      <c r="D140" s="93">
        <f t="shared" si="34"/>
        <v>-447006</v>
      </c>
      <c r="E140" s="95">
        <f t="shared" si="33"/>
        <v>93.307972837022135</v>
      </c>
    </row>
    <row r="141" spans="1:5" ht="25.5" x14ac:dyDescent="0.2">
      <c r="A141" s="96" t="s">
        <v>281</v>
      </c>
      <c r="B141" s="93">
        <v>2122996</v>
      </c>
      <c r="C141" s="94">
        <v>2530080</v>
      </c>
      <c r="D141" s="93">
        <f t="shared" si="34"/>
        <v>407084</v>
      </c>
      <c r="E141" s="95">
        <f t="shared" si="33"/>
        <v>119.17497724913282</v>
      </c>
    </row>
    <row r="142" spans="1:5" x14ac:dyDescent="0.2">
      <c r="A142" s="96" t="s">
        <v>282</v>
      </c>
      <c r="B142" s="93">
        <v>127800000</v>
      </c>
      <c r="C142" s="94">
        <v>177080589</v>
      </c>
      <c r="D142" s="93">
        <f t="shared" si="34"/>
        <v>49280589</v>
      </c>
      <c r="E142" s="95">
        <f t="shared" si="33"/>
        <v>138.56071126760563</v>
      </c>
    </row>
    <row r="143" spans="1:5" x14ac:dyDescent="0.2">
      <c r="A143" s="106" t="s">
        <v>191</v>
      </c>
      <c r="B143" s="90">
        <f>ROUND(SUM(B144:B145),0)</f>
        <v>34868661</v>
      </c>
      <c r="C143" s="90">
        <f t="shared" ref="C143:D143" si="35">ROUND(SUM(C144:C145),0)</f>
        <v>29651517</v>
      </c>
      <c r="D143" s="90">
        <f t="shared" si="35"/>
        <v>-5217144</v>
      </c>
      <c r="E143" s="91">
        <f t="shared" si="33"/>
        <v>85.037727717734839</v>
      </c>
    </row>
    <row r="144" spans="1:5" x14ac:dyDescent="0.2">
      <c r="A144" s="106" t="s">
        <v>283</v>
      </c>
      <c r="B144" s="93">
        <v>29526540</v>
      </c>
      <c r="C144" s="94">
        <v>28943737</v>
      </c>
      <c r="D144" s="93">
        <f t="shared" si="34"/>
        <v>-582803</v>
      </c>
      <c r="E144" s="95">
        <f t="shared" si="33"/>
        <v>98.026172385928049</v>
      </c>
    </row>
    <row r="145" spans="1:5" x14ac:dyDescent="0.2">
      <c r="A145" s="96" t="s">
        <v>284</v>
      </c>
      <c r="B145" s="93">
        <v>5342121</v>
      </c>
      <c r="C145" s="94">
        <v>707780</v>
      </c>
      <c r="D145" s="93">
        <f t="shared" si="34"/>
        <v>-4634341</v>
      </c>
      <c r="E145" s="95">
        <f t="shared" si="33"/>
        <v>13.249044714636751</v>
      </c>
    </row>
    <row r="146" spans="1:5" x14ac:dyDescent="0.2">
      <c r="A146" s="96" t="s">
        <v>285</v>
      </c>
      <c r="B146" s="90">
        <v>959392</v>
      </c>
      <c r="C146" s="98">
        <v>778152</v>
      </c>
      <c r="D146" s="90">
        <f t="shared" si="34"/>
        <v>-181240</v>
      </c>
      <c r="E146" s="91">
        <f t="shared" si="33"/>
        <v>81.108868950335207</v>
      </c>
    </row>
    <row r="147" spans="1:5" x14ac:dyDescent="0.2">
      <c r="A147" s="96" t="s">
        <v>286</v>
      </c>
      <c r="B147" s="90">
        <f t="shared" ref="B147:D147" si="36">ROUND((+B148),0)</f>
        <v>18632332</v>
      </c>
      <c r="C147" s="90">
        <f t="shared" si="36"/>
        <v>82414089</v>
      </c>
      <c r="D147" s="90">
        <f t="shared" si="36"/>
        <v>63781757</v>
      </c>
      <c r="E147" s="91">
        <f t="shared" si="33"/>
        <v>442.31762830331706</v>
      </c>
    </row>
    <row r="148" spans="1:5" x14ac:dyDescent="0.2">
      <c r="A148" s="96" t="s">
        <v>287</v>
      </c>
      <c r="B148" s="93">
        <v>18632332</v>
      </c>
      <c r="C148" s="94">
        <v>82414089</v>
      </c>
      <c r="D148" s="93">
        <f t="shared" si="34"/>
        <v>63781757</v>
      </c>
      <c r="E148" s="95">
        <f t="shared" si="33"/>
        <v>442.31762830331706</v>
      </c>
    </row>
    <row r="149" spans="1:5" x14ac:dyDescent="0.2">
      <c r="A149" s="96" t="s">
        <v>288</v>
      </c>
      <c r="B149" s="93">
        <v>0</v>
      </c>
      <c r="C149" s="94">
        <v>3079802</v>
      </c>
      <c r="D149" s="93">
        <f t="shared" si="34"/>
        <v>3079802</v>
      </c>
      <c r="E149" s="95">
        <v>100</v>
      </c>
    </row>
    <row r="150" spans="1:5" x14ac:dyDescent="0.2">
      <c r="A150" s="96" t="s">
        <v>189</v>
      </c>
      <c r="B150" s="90">
        <f>+B151+B152</f>
        <v>11980587</v>
      </c>
      <c r="C150" s="98">
        <f t="shared" ref="C150:D150" si="37">+C151+C152</f>
        <v>6933303</v>
      </c>
      <c r="D150" s="90">
        <f t="shared" si="37"/>
        <v>-5047284</v>
      </c>
      <c r="E150" s="95">
        <f t="shared" si="33"/>
        <v>57.871146046516756</v>
      </c>
    </row>
    <row r="151" spans="1:5" x14ac:dyDescent="0.2">
      <c r="A151" s="96" t="s">
        <v>289</v>
      </c>
      <c r="B151" s="93">
        <v>8743616</v>
      </c>
      <c r="C151" s="94">
        <v>4059176</v>
      </c>
      <c r="D151" s="93">
        <f t="shared" si="34"/>
        <v>-4684440</v>
      </c>
      <c r="E151" s="95">
        <f t="shared" si="33"/>
        <v>46.424454138882588</v>
      </c>
    </row>
    <row r="152" spans="1:5" x14ac:dyDescent="0.2">
      <c r="A152" s="106" t="s">
        <v>192</v>
      </c>
      <c r="B152" s="93">
        <v>3236971</v>
      </c>
      <c r="C152" s="94">
        <v>2874127</v>
      </c>
      <c r="D152" s="93">
        <f t="shared" si="34"/>
        <v>-362844</v>
      </c>
      <c r="E152" s="95">
        <f t="shared" si="33"/>
        <v>88.790631735656575</v>
      </c>
    </row>
    <row r="153" spans="1:5" x14ac:dyDescent="0.2">
      <c r="A153" s="96" t="s">
        <v>290</v>
      </c>
      <c r="B153" s="93">
        <v>0</v>
      </c>
      <c r="C153" s="94">
        <v>0</v>
      </c>
      <c r="D153" s="107">
        <f>+C153-B153</f>
        <v>0</v>
      </c>
      <c r="E153" s="95">
        <v>0</v>
      </c>
    </row>
    <row r="154" spans="1:5" x14ac:dyDescent="0.2">
      <c r="A154" s="96" t="s">
        <v>291</v>
      </c>
      <c r="B154" s="93">
        <v>0</v>
      </c>
      <c r="C154" s="94">
        <v>0</v>
      </c>
      <c r="D154" s="107">
        <f>+C154-B154</f>
        <v>0</v>
      </c>
      <c r="E154" s="95">
        <v>0</v>
      </c>
    </row>
    <row r="155" spans="1:5" x14ac:dyDescent="0.2">
      <c r="A155" s="96" t="s">
        <v>292</v>
      </c>
      <c r="B155" s="98">
        <v>0</v>
      </c>
      <c r="C155" s="98">
        <v>0</v>
      </c>
      <c r="D155" s="98">
        <v>0</v>
      </c>
      <c r="E155" s="95">
        <v>0</v>
      </c>
    </row>
    <row r="156" spans="1:5" ht="16.5" customHeight="1" x14ac:dyDescent="0.2">
      <c r="A156" s="96" t="s">
        <v>293</v>
      </c>
      <c r="B156" s="93">
        <v>0</v>
      </c>
      <c r="C156" s="94">
        <v>0</v>
      </c>
      <c r="D156" s="93">
        <f>+C156-B156</f>
        <v>0</v>
      </c>
      <c r="E156" s="95">
        <v>0</v>
      </c>
    </row>
    <row r="157" spans="1:5" x14ac:dyDescent="0.2">
      <c r="A157" s="96" t="s">
        <v>294</v>
      </c>
      <c r="B157" s="90">
        <f>ROUND(SUM(B158:B167),0)</f>
        <v>6784045</v>
      </c>
      <c r="C157" s="90">
        <f>ROUND(SUM(C158:C167),0)</f>
        <v>446942471</v>
      </c>
      <c r="D157" s="90">
        <f t="shared" ref="D157" si="38">ROUND(SUM(D158:D167),0)</f>
        <v>440158426</v>
      </c>
      <c r="E157" s="91">
        <f t="shared" si="33"/>
        <v>6588.1413080249313</v>
      </c>
    </row>
    <row r="158" spans="1:5" x14ac:dyDescent="0.2">
      <c r="A158" s="96" t="s">
        <v>6</v>
      </c>
      <c r="B158" s="93">
        <v>0</v>
      </c>
      <c r="C158" s="94">
        <v>0</v>
      </c>
      <c r="D158" s="93">
        <f t="shared" ref="D158:D169" si="39">+C158-B158</f>
        <v>0</v>
      </c>
      <c r="E158" s="95">
        <v>0</v>
      </c>
    </row>
    <row r="159" spans="1:5" x14ac:dyDescent="0.2">
      <c r="A159" s="96" t="s">
        <v>295</v>
      </c>
      <c r="B159" s="93">
        <v>0</v>
      </c>
      <c r="C159" s="94">
        <v>0</v>
      </c>
      <c r="D159" s="93">
        <f t="shared" si="39"/>
        <v>0</v>
      </c>
      <c r="E159" s="95">
        <v>0</v>
      </c>
    </row>
    <row r="160" spans="1:5" x14ac:dyDescent="0.2">
      <c r="A160" s="96" t="s">
        <v>296</v>
      </c>
      <c r="B160" s="93">
        <v>0</v>
      </c>
      <c r="C160" s="94">
        <v>0</v>
      </c>
      <c r="D160" s="93">
        <f t="shared" si="39"/>
        <v>0</v>
      </c>
      <c r="E160" s="95">
        <v>0</v>
      </c>
    </row>
    <row r="161" spans="1:5" x14ac:dyDescent="0.2">
      <c r="A161" s="96" t="s">
        <v>297</v>
      </c>
      <c r="B161" s="93">
        <v>0</v>
      </c>
      <c r="C161" s="94">
        <v>0</v>
      </c>
      <c r="D161" s="93">
        <f t="shared" si="39"/>
        <v>0</v>
      </c>
      <c r="E161" s="95">
        <v>0</v>
      </c>
    </row>
    <row r="162" spans="1:5" x14ac:dyDescent="0.2">
      <c r="A162" s="96" t="s">
        <v>298</v>
      </c>
      <c r="B162" s="93">
        <v>0</v>
      </c>
      <c r="C162" s="94">
        <v>0</v>
      </c>
      <c r="D162" s="93">
        <f t="shared" si="39"/>
        <v>0</v>
      </c>
      <c r="E162" s="95">
        <v>0</v>
      </c>
    </row>
    <row r="163" spans="1:5" x14ac:dyDescent="0.2">
      <c r="A163" s="96" t="s">
        <v>299</v>
      </c>
      <c r="B163" s="93">
        <v>0</v>
      </c>
      <c r="C163" s="94">
        <v>0</v>
      </c>
      <c r="D163" s="93">
        <f t="shared" si="39"/>
        <v>0</v>
      </c>
      <c r="E163" s="95">
        <v>0</v>
      </c>
    </row>
    <row r="164" spans="1:5" x14ac:dyDescent="0.2">
      <c r="A164" s="96" t="s">
        <v>300</v>
      </c>
      <c r="B164" s="93">
        <v>0</v>
      </c>
      <c r="C164" s="94">
        <v>0</v>
      </c>
      <c r="D164" s="93">
        <f t="shared" si="39"/>
        <v>0</v>
      </c>
      <c r="E164" s="95">
        <v>0</v>
      </c>
    </row>
    <row r="165" spans="1:5" x14ac:dyDescent="0.2">
      <c r="A165" s="96" t="s">
        <v>301</v>
      </c>
      <c r="B165" s="93">
        <v>0</v>
      </c>
      <c r="C165" s="94">
        <v>0</v>
      </c>
      <c r="D165" s="93">
        <f t="shared" si="39"/>
        <v>0</v>
      </c>
      <c r="E165" s="95">
        <v>0</v>
      </c>
    </row>
    <row r="166" spans="1:5" x14ac:dyDescent="0.2">
      <c r="A166" s="106" t="s">
        <v>302</v>
      </c>
      <c r="B166" s="93">
        <v>0</v>
      </c>
      <c r="C166" s="94">
        <v>0</v>
      </c>
      <c r="D166" s="93">
        <f t="shared" si="39"/>
        <v>0</v>
      </c>
      <c r="E166" s="95">
        <v>0</v>
      </c>
    </row>
    <row r="167" spans="1:5" x14ac:dyDescent="0.2">
      <c r="A167" s="96" t="s">
        <v>303</v>
      </c>
      <c r="B167" s="93">
        <v>6784045</v>
      </c>
      <c r="C167" s="93">
        <v>446942471</v>
      </c>
      <c r="D167" s="93">
        <f t="shared" si="39"/>
        <v>440158426</v>
      </c>
      <c r="E167" s="95">
        <f t="shared" si="33"/>
        <v>6588.1413080249313</v>
      </c>
    </row>
    <row r="168" spans="1:5" x14ac:dyDescent="0.2">
      <c r="A168" s="96" t="s">
        <v>304</v>
      </c>
      <c r="B168" s="93">
        <v>0</v>
      </c>
      <c r="C168" s="94">
        <v>0</v>
      </c>
      <c r="D168" s="107">
        <f>+C168-B168</f>
        <v>0</v>
      </c>
      <c r="E168" s="95">
        <v>0</v>
      </c>
    </row>
    <row r="169" spans="1:5" ht="51.75" thickBot="1" x14ac:dyDescent="0.25">
      <c r="A169" s="118" t="s">
        <v>305</v>
      </c>
      <c r="B169" s="121">
        <v>1760670</v>
      </c>
      <c r="C169" s="101">
        <v>1194364</v>
      </c>
      <c r="D169" s="110">
        <f t="shared" si="39"/>
        <v>-566306</v>
      </c>
      <c r="E169" s="102">
        <f t="shared" si="33"/>
        <v>67.835767065946484</v>
      </c>
    </row>
    <row r="170" spans="1:5" x14ac:dyDescent="0.2">
      <c r="A170" s="122"/>
      <c r="B170" s="111"/>
      <c r="C170" s="114"/>
      <c r="D170" s="111"/>
      <c r="E170" s="111"/>
    </row>
    <row r="171" spans="1:5" ht="13.5" thickBot="1" x14ac:dyDescent="0.25">
      <c r="C171" s="120"/>
    </row>
    <row r="172" spans="1:5" ht="13.5" thickBot="1" x14ac:dyDescent="0.25">
      <c r="A172" s="69" t="s">
        <v>168</v>
      </c>
      <c r="B172" s="70" t="s">
        <v>169</v>
      </c>
      <c r="C172" s="123" t="s">
        <v>170</v>
      </c>
      <c r="D172" s="71" t="s">
        <v>171</v>
      </c>
      <c r="E172" s="71" t="s">
        <v>172</v>
      </c>
    </row>
    <row r="173" spans="1:5" x14ac:dyDescent="0.2">
      <c r="A173" s="89" t="s">
        <v>178</v>
      </c>
      <c r="B173" s="90">
        <f>ROUND((+B174),0)</f>
        <v>4788853</v>
      </c>
      <c r="C173" s="90">
        <f t="shared" ref="C173:D173" si="40">ROUND((+C174),0)</f>
        <v>6670370</v>
      </c>
      <c r="D173" s="90">
        <f t="shared" si="40"/>
        <v>1881517</v>
      </c>
      <c r="E173" s="91">
        <f t="shared" ref="E173:E174" si="41">+C173/B173*100</f>
        <v>139.28951254089446</v>
      </c>
    </row>
    <row r="174" spans="1:5" ht="26.25" thickBot="1" x14ac:dyDescent="0.25">
      <c r="A174" s="124" t="s">
        <v>306</v>
      </c>
      <c r="B174" s="100">
        <v>4788853</v>
      </c>
      <c r="C174" s="110">
        <v>6670370</v>
      </c>
      <c r="D174" s="110">
        <f t="shared" ref="D174" si="42">+C174-B174</f>
        <v>1881517</v>
      </c>
      <c r="E174" s="102">
        <f t="shared" si="41"/>
        <v>139.28951254089446</v>
      </c>
    </row>
    <row r="175" spans="1:5" x14ac:dyDescent="0.2">
      <c r="A175" s="125"/>
      <c r="B175" s="111"/>
      <c r="C175" s="114"/>
      <c r="D175" s="111"/>
      <c r="E175" s="111"/>
    </row>
    <row r="176" spans="1:5" ht="13.5" thickBot="1" x14ac:dyDescent="0.25">
      <c r="A176" s="67"/>
      <c r="C176" s="120"/>
    </row>
    <row r="177" spans="1:5" ht="13.5" thickBot="1" x14ac:dyDescent="0.25">
      <c r="A177" s="69" t="s">
        <v>168</v>
      </c>
      <c r="B177" s="70" t="s">
        <v>169</v>
      </c>
      <c r="C177" s="70" t="s">
        <v>170</v>
      </c>
      <c r="D177" s="71" t="s">
        <v>171</v>
      </c>
      <c r="E177" s="71" t="s">
        <v>172</v>
      </c>
    </row>
    <row r="178" spans="1:5" x14ac:dyDescent="0.2">
      <c r="A178" s="89" t="s">
        <v>307</v>
      </c>
      <c r="B178" s="90">
        <f>ROUND((+B179+B186+B212),0)</f>
        <v>34974309022</v>
      </c>
      <c r="C178" s="90">
        <f>ROUND((+C179+C186+C212),0)</f>
        <v>40158848322</v>
      </c>
      <c r="D178" s="90">
        <f>ROUND((+D179+D186+D212),0)</f>
        <v>5184539300</v>
      </c>
      <c r="E178" s="91">
        <f t="shared" ref="E178:E210" si="43">+C178/B178*100</f>
        <v>114.82385054909521</v>
      </c>
    </row>
    <row r="179" spans="1:5" x14ac:dyDescent="0.2">
      <c r="A179" s="97" t="s">
        <v>8</v>
      </c>
      <c r="B179" s="90">
        <f>ROUND(SUM(B180:B184),0)</f>
        <v>17988005166</v>
      </c>
      <c r="C179" s="90">
        <f t="shared" ref="C179:D179" si="44">ROUND(SUM(C180:C184),0)</f>
        <v>19487772998</v>
      </c>
      <c r="D179" s="90">
        <f t="shared" si="44"/>
        <v>1499767832</v>
      </c>
      <c r="E179" s="91">
        <f t="shared" si="43"/>
        <v>108.33759951789865</v>
      </c>
    </row>
    <row r="180" spans="1:5" x14ac:dyDescent="0.2">
      <c r="A180" s="106" t="s">
        <v>308</v>
      </c>
      <c r="B180" s="93">
        <v>13075164118</v>
      </c>
      <c r="C180" s="94">
        <v>14002782751</v>
      </c>
      <c r="D180" s="93">
        <f t="shared" ref="D180:D184" si="45">+C180-B180</f>
        <v>927618633</v>
      </c>
      <c r="E180" s="95">
        <f t="shared" si="43"/>
        <v>107.09450852492925</v>
      </c>
    </row>
    <row r="181" spans="1:5" x14ac:dyDescent="0.2">
      <c r="A181" s="96" t="s">
        <v>309</v>
      </c>
      <c r="B181" s="93">
        <v>3330331398</v>
      </c>
      <c r="C181" s="94">
        <v>3580165830</v>
      </c>
      <c r="D181" s="93">
        <f t="shared" si="45"/>
        <v>249834432</v>
      </c>
      <c r="E181" s="95">
        <f t="shared" si="43"/>
        <v>107.50178892557167</v>
      </c>
    </row>
    <row r="182" spans="1:5" x14ac:dyDescent="0.2">
      <c r="A182" s="96" t="s">
        <v>310</v>
      </c>
      <c r="B182" s="93">
        <v>389726585</v>
      </c>
      <c r="C182" s="94">
        <v>420849651</v>
      </c>
      <c r="D182" s="93">
        <f t="shared" si="45"/>
        <v>31123066</v>
      </c>
      <c r="E182" s="95">
        <f t="shared" si="43"/>
        <v>107.98587194147918</v>
      </c>
    </row>
    <row r="183" spans="1:5" ht="25.5" x14ac:dyDescent="0.2">
      <c r="A183" s="96" t="s">
        <v>311</v>
      </c>
      <c r="B183" s="93">
        <v>384197713</v>
      </c>
      <c r="C183" s="94">
        <v>438451971</v>
      </c>
      <c r="D183" s="93">
        <f t="shared" si="45"/>
        <v>54254258</v>
      </c>
      <c r="E183" s="95">
        <f t="shared" si="43"/>
        <v>114.12144220650266</v>
      </c>
    </row>
    <row r="184" spans="1:5" ht="39" thickBot="1" x14ac:dyDescent="0.25">
      <c r="A184" s="96" t="s">
        <v>312</v>
      </c>
      <c r="B184" s="93">
        <v>808585352</v>
      </c>
      <c r="C184" s="94">
        <v>1045522795</v>
      </c>
      <c r="D184" s="93">
        <f t="shared" si="45"/>
        <v>236937443</v>
      </c>
      <c r="E184" s="95">
        <f t="shared" si="43"/>
        <v>129.30271274565459</v>
      </c>
    </row>
    <row r="185" spans="1:5" ht="13.5" thickBot="1" x14ac:dyDescent="0.25">
      <c r="A185" s="69" t="s">
        <v>168</v>
      </c>
      <c r="B185" s="70" t="s">
        <v>169</v>
      </c>
      <c r="C185" s="70" t="s">
        <v>170</v>
      </c>
      <c r="D185" s="71" t="s">
        <v>171</v>
      </c>
      <c r="E185" s="71" t="s">
        <v>172</v>
      </c>
    </row>
    <row r="186" spans="1:5" x14ac:dyDescent="0.2">
      <c r="A186" s="97" t="s">
        <v>9</v>
      </c>
      <c r="B186" s="90">
        <f>ROUND((+B187+B192+B193+B196+B198+B206+B207+B210),0)</f>
        <v>15419803856</v>
      </c>
      <c r="C186" s="90">
        <f>ROUND((+C187+C192+C193+C196+C198+C206+C207+C210),0)</f>
        <v>15472504833</v>
      </c>
      <c r="D186" s="90">
        <f>ROUND((+D187+D192+D193+D196+D198+D206+D207+D210),0)</f>
        <v>52700977</v>
      </c>
      <c r="E186" s="91">
        <f t="shared" si="43"/>
        <v>100.34177462626734</v>
      </c>
    </row>
    <row r="187" spans="1:5" ht="25.5" x14ac:dyDescent="0.2">
      <c r="A187" s="96" t="s">
        <v>313</v>
      </c>
      <c r="B187" s="98">
        <f>ROUND(SUM(B188:B191),0)</f>
        <v>8631444606</v>
      </c>
      <c r="C187" s="98">
        <f>ROUND(SUM(C188:C191),0)</f>
        <v>8733996832</v>
      </c>
      <c r="D187" s="98">
        <f>ROUND(SUM(D188:D191),0)</f>
        <v>102552226</v>
      </c>
      <c r="E187" s="91">
        <f t="shared" si="43"/>
        <v>101.18812354919955</v>
      </c>
    </row>
    <row r="188" spans="1:5" x14ac:dyDescent="0.2">
      <c r="A188" s="96" t="s">
        <v>314</v>
      </c>
      <c r="B188" s="94">
        <v>463434857</v>
      </c>
      <c r="C188" s="94">
        <v>462819365</v>
      </c>
      <c r="D188" s="93">
        <f t="shared" ref="D188:D213" si="46">+C188-B188</f>
        <v>-615492</v>
      </c>
      <c r="E188" s="95">
        <f t="shared" si="43"/>
        <v>99.867189100970023</v>
      </c>
    </row>
    <row r="189" spans="1:5" x14ac:dyDescent="0.2">
      <c r="A189" s="96" t="s">
        <v>315</v>
      </c>
      <c r="B189" s="94">
        <v>294738354</v>
      </c>
      <c r="C189" s="94">
        <v>294970015</v>
      </c>
      <c r="D189" s="93">
        <f t="shared" si="46"/>
        <v>231661</v>
      </c>
      <c r="E189" s="95">
        <f t="shared" si="43"/>
        <v>100.07859886467303</v>
      </c>
    </row>
    <row r="190" spans="1:5" x14ac:dyDescent="0.2">
      <c r="A190" s="96" t="s">
        <v>316</v>
      </c>
      <c r="B190" s="94">
        <v>142758630</v>
      </c>
      <c r="C190" s="94">
        <v>142558548</v>
      </c>
      <c r="D190" s="93">
        <f t="shared" si="46"/>
        <v>-200082</v>
      </c>
      <c r="E190" s="95">
        <f t="shared" si="43"/>
        <v>99.859845951169461</v>
      </c>
    </row>
    <row r="191" spans="1:5" x14ac:dyDescent="0.2">
      <c r="A191" s="96" t="s">
        <v>317</v>
      </c>
      <c r="B191" s="94">
        <v>7730512765</v>
      </c>
      <c r="C191" s="94">
        <v>7833648904</v>
      </c>
      <c r="D191" s="93">
        <f t="shared" si="46"/>
        <v>103136139</v>
      </c>
      <c r="E191" s="95">
        <f t="shared" si="43"/>
        <v>101.33414357022927</v>
      </c>
    </row>
    <row r="192" spans="1:5" x14ac:dyDescent="0.2">
      <c r="A192" s="96" t="s">
        <v>318</v>
      </c>
      <c r="B192" s="90">
        <v>2283970188</v>
      </c>
      <c r="C192" s="98">
        <v>2391042637.1199999</v>
      </c>
      <c r="D192" s="90">
        <f t="shared" si="46"/>
        <v>107072449.11999989</v>
      </c>
      <c r="E192" s="91">
        <f t="shared" si="43"/>
        <v>104.68799679096337</v>
      </c>
    </row>
    <row r="193" spans="1:5" x14ac:dyDescent="0.2">
      <c r="A193" s="106" t="s">
        <v>319</v>
      </c>
      <c r="B193" s="90">
        <f>ROUND((+B194+B195),0)</f>
        <v>606210969</v>
      </c>
      <c r="C193" s="90">
        <f t="shared" ref="C193:D193" si="47">ROUND((+C194+C195),0)</f>
        <v>621781695</v>
      </c>
      <c r="D193" s="90">
        <f t="shared" si="47"/>
        <v>15570726</v>
      </c>
      <c r="E193" s="95">
        <f t="shared" si="43"/>
        <v>102.56853254003062</v>
      </c>
    </row>
    <row r="194" spans="1:5" x14ac:dyDescent="0.2">
      <c r="A194" s="96" t="s">
        <v>320</v>
      </c>
      <c r="B194" s="93">
        <v>532729399</v>
      </c>
      <c r="C194" s="94">
        <v>543959649</v>
      </c>
      <c r="D194" s="93">
        <f t="shared" si="46"/>
        <v>11230250</v>
      </c>
      <c r="E194" s="95">
        <f t="shared" si="43"/>
        <v>102.10805899225397</v>
      </c>
    </row>
    <row r="195" spans="1:5" x14ac:dyDescent="0.2">
      <c r="A195" s="96" t="s">
        <v>321</v>
      </c>
      <c r="B195" s="93">
        <v>73481570</v>
      </c>
      <c r="C195" s="94">
        <v>77822046</v>
      </c>
      <c r="D195" s="93">
        <f t="shared" si="46"/>
        <v>4340476</v>
      </c>
      <c r="E195" s="95">
        <f t="shared" si="43"/>
        <v>105.90689066659844</v>
      </c>
    </row>
    <row r="196" spans="1:5" ht="39" thickBot="1" x14ac:dyDescent="0.25">
      <c r="A196" s="96" t="s">
        <v>322</v>
      </c>
      <c r="B196" s="90">
        <v>1640966574</v>
      </c>
      <c r="C196" s="98">
        <v>1639334998</v>
      </c>
      <c r="D196" s="90">
        <f t="shared" si="46"/>
        <v>-1631576</v>
      </c>
      <c r="E196" s="91">
        <f t="shared" si="43"/>
        <v>99.900572258700976</v>
      </c>
    </row>
    <row r="197" spans="1:5" ht="13.5" thickBot="1" x14ac:dyDescent="0.25">
      <c r="A197" s="69" t="s">
        <v>168</v>
      </c>
      <c r="B197" s="70" t="s">
        <v>169</v>
      </c>
      <c r="C197" s="70" t="s">
        <v>170</v>
      </c>
      <c r="D197" s="71" t="s">
        <v>171</v>
      </c>
      <c r="E197" s="71" t="s">
        <v>172</v>
      </c>
    </row>
    <row r="198" spans="1:5" x14ac:dyDescent="0.2">
      <c r="A198" s="96" t="s">
        <v>323</v>
      </c>
      <c r="B198" s="90">
        <f>ROUND(SUM(B199:B205),0)</f>
        <v>787393555</v>
      </c>
      <c r="C198" s="90">
        <f t="shared" ref="C198:D198" si="48">ROUND(SUM(C199:C205),0)</f>
        <v>590814992</v>
      </c>
      <c r="D198" s="90">
        <f t="shared" si="48"/>
        <v>-196578563</v>
      </c>
      <c r="E198" s="91">
        <f t="shared" si="43"/>
        <v>75.034268219276953</v>
      </c>
    </row>
    <row r="199" spans="1:5" x14ac:dyDescent="0.2">
      <c r="A199" s="106" t="s">
        <v>324</v>
      </c>
      <c r="B199" s="93">
        <v>176481551</v>
      </c>
      <c r="C199" s="94">
        <v>180002193</v>
      </c>
      <c r="D199" s="93">
        <f t="shared" si="46"/>
        <v>3520642</v>
      </c>
      <c r="E199" s="95">
        <f t="shared" si="43"/>
        <v>101.99490653841772</v>
      </c>
    </row>
    <row r="200" spans="1:5" x14ac:dyDescent="0.2">
      <c r="A200" s="96" t="s">
        <v>325</v>
      </c>
      <c r="B200" s="93">
        <v>173025461</v>
      </c>
      <c r="C200" s="94">
        <v>94609424</v>
      </c>
      <c r="D200" s="93">
        <f t="shared" si="46"/>
        <v>-78416037</v>
      </c>
      <c r="E200" s="95">
        <f t="shared" si="43"/>
        <v>54.679480958007673</v>
      </c>
    </row>
    <row r="201" spans="1:5" x14ac:dyDescent="0.2">
      <c r="A201" s="96" t="s">
        <v>326</v>
      </c>
      <c r="B201" s="93">
        <v>98556609</v>
      </c>
      <c r="C201" s="94">
        <v>107859072</v>
      </c>
      <c r="D201" s="93">
        <f t="shared" si="46"/>
        <v>9302463</v>
      </c>
      <c r="E201" s="95">
        <f t="shared" si="43"/>
        <v>109.43870035138892</v>
      </c>
    </row>
    <row r="202" spans="1:5" x14ac:dyDescent="0.2">
      <c r="A202" s="96" t="s">
        <v>327</v>
      </c>
      <c r="B202" s="93">
        <v>12406559</v>
      </c>
      <c r="C202" s="94">
        <v>10898232</v>
      </c>
      <c r="D202" s="93">
        <f t="shared" si="46"/>
        <v>-1508327</v>
      </c>
      <c r="E202" s="95">
        <f t="shared" si="43"/>
        <v>87.842503308129196</v>
      </c>
    </row>
    <row r="203" spans="1:5" x14ac:dyDescent="0.2">
      <c r="A203" s="96" t="s">
        <v>328</v>
      </c>
      <c r="B203" s="93">
        <v>168200000</v>
      </c>
      <c r="C203" s="94">
        <v>99684025</v>
      </c>
      <c r="D203" s="93">
        <f t="shared" si="46"/>
        <v>-68515975</v>
      </c>
      <c r="E203" s="95">
        <f t="shared" si="43"/>
        <v>59.26517538644471</v>
      </c>
    </row>
    <row r="204" spans="1:5" x14ac:dyDescent="0.2">
      <c r="A204" s="96" t="s">
        <v>329</v>
      </c>
      <c r="B204" s="93">
        <v>131224447</v>
      </c>
      <c r="C204" s="94">
        <v>89943284</v>
      </c>
      <c r="D204" s="93">
        <f t="shared" si="46"/>
        <v>-41281163</v>
      </c>
      <c r="E204" s="95">
        <f t="shared" si="43"/>
        <v>68.541560704767164</v>
      </c>
    </row>
    <row r="205" spans="1:5" ht="25.5" x14ac:dyDescent="0.2">
      <c r="A205" s="96" t="s">
        <v>330</v>
      </c>
      <c r="B205" s="93">
        <v>27498928</v>
      </c>
      <c r="C205" s="94">
        <v>7818762</v>
      </c>
      <c r="D205" s="93">
        <f t="shared" si="46"/>
        <v>-19680166</v>
      </c>
      <c r="E205" s="95">
        <f t="shared" si="43"/>
        <v>28.432970187056018</v>
      </c>
    </row>
    <row r="206" spans="1:5" x14ac:dyDescent="0.2">
      <c r="A206" s="96" t="s">
        <v>331</v>
      </c>
      <c r="B206" s="90">
        <v>299726465</v>
      </c>
      <c r="C206" s="98">
        <v>306432035</v>
      </c>
      <c r="D206" s="90">
        <f t="shared" si="46"/>
        <v>6705570</v>
      </c>
      <c r="E206" s="91">
        <f t="shared" si="43"/>
        <v>102.23722986890731</v>
      </c>
    </row>
    <row r="207" spans="1:5" ht="25.5" x14ac:dyDescent="0.2">
      <c r="A207" s="96" t="s">
        <v>332</v>
      </c>
      <c r="B207" s="90">
        <f>ROUND((+B208+B209),0)</f>
        <v>285959780</v>
      </c>
      <c r="C207" s="90">
        <f>ROUND((+C208+C209),0)</f>
        <v>292192674</v>
      </c>
      <c r="D207" s="90">
        <f>ROUND((+D208+D209),0)</f>
        <v>6232894</v>
      </c>
      <c r="E207" s="91">
        <f t="shared" si="43"/>
        <v>102.17964008784732</v>
      </c>
    </row>
    <row r="208" spans="1:5" x14ac:dyDescent="0.2">
      <c r="A208" s="106" t="s">
        <v>333</v>
      </c>
      <c r="B208" s="93">
        <v>215672768</v>
      </c>
      <c r="C208" s="94">
        <v>220480721</v>
      </c>
      <c r="D208" s="93">
        <f t="shared" si="46"/>
        <v>4807953</v>
      </c>
      <c r="E208" s="95">
        <f t="shared" si="43"/>
        <v>102.22928144549061</v>
      </c>
    </row>
    <row r="209" spans="1:6" x14ac:dyDescent="0.2">
      <c r="A209" s="96" t="s">
        <v>334</v>
      </c>
      <c r="B209" s="93">
        <v>70287012</v>
      </c>
      <c r="C209" s="94">
        <v>71711953</v>
      </c>
      <c r="D209" s="93">
        <f t="shared" si="46"/>
        <v>1424941</v>
      </c>
      <c r="E209" s="95">
        <f t="shared" si="43"/>
        <v>102.02731765009445</v>
      </c>
    </row>
    <row r="210" spans="1:6" ht="26.25" thickBot="1" x14ac:dyDescent="0.25">
      <c r="A210" s="106" t="s">
        <v>335</v>
      </c>
      <c r="B210" s="90">
        <v>884131719</v>
      </c>
      <c r="C210" s="98">
        <v>896908970</v>
      </c>
      <c r="D210" s="90">
        <f t="shared" si="46"/>
        <v>12777251</v>
      </c>
      <c r="E210" s="91">
        <f t="shared" si="43"/>
        <v>101.44517504862868</v>
      </c>
    </row>
    <row r="211" spans="1:6" ht="13.5" thickBot="1" x14ac:dyDescent="0.25">
      <c r="A211" s="69" t="s">
        <v>168</v>
      </c>
      <c r="B211" s="70" t="s">
        <v>169</v>
      </c>
      <c r="C211" s="70" t="s">
        <v>170</v>
      </c>
      <c r="D211" s="71" t="s">
        <v>171</v>
      </c>
      <c r="E211" s="71" t="s">
        <v>172</v>
      </c>
    </row>
    <row r="212" spans="1:6" x14ac:dyDescent="0.2">
      <c r="A212" s="97" t="s">
        <v>10</v>
      </c>
      <c r="B212" s="90">
        <f>ROUND(+B213,0)</f>
        <v>1566500000</v>
      </c>
      <c r="C212" s="90">
        <f t="shared" ref="C212:D212" si="49">ROUND(+C213,0)</f>
        <v>5198570491</v>
      </c>
      <c r="D212" s="90">
        <f t="shared" si="49"/>
        <v>3632070491</v>
      </c>
      <c r="E212" s="91">
        <f>+C212/B212*100</f>
        <v>331.85895250558571</v>
      </c>
    </row>
    <row r="213" spans="1:6" ht="26.25" thickBot="1" x14ac:dyDescent="0.25">
      <c r="A213" s="126" t="s">
        <v>336</v>
      </c>
      <c r="B213" s="100">
        <v>1566500000</v>
      </c>
      <c r="C213" s="110">
        <v>5198570491</v>
      </c>
      <c r="D213" s="100">
        <f t="shared" si="46"/>
        <v>3632070491</v>
      </c>
      <c r="E213" s="102">
        <f t="shared" ref="E213" si="50">+C213/B213*100</f>
        <v>331.85895250558571</v>
      </c>
    </row>
    <row r="214" spans="1:6" x14ac:dyDescent="0.2">
      <c r="C214" s="120"/>
    </row>
    <row r="215" spans="1:6" ht="13.5" thickBot="1" x14ac:dyDescent="0.25">
      <c r="A215" s="67"/>
      <c r="C215" s="120"/>
    </row>
    <row r="216" spans="1:6" ht="13.5" thickBot="1" x14ac:dyDescent="0.25">
      <c r="A216" s="69" t="s">
        <v>168</v>
      </c>
      <c r="B216" s="70" t="s">
        <v>169</v>
      </c>
      <c r="C216" s="70" t="s">
        <v>170</v>
      </c>
      <c r="D216" s="71" t="s">
        <v>171</v>
      </c>
      <c r="E216" s="71" t="s">
        <v>172</v>
      </c>
    </row>
    <row r="217" spans="1:6" ht="25.5" x14ac:dyDescent="0.2">
      <c r="A217" s="97" t="s">
        <v>180</v>
      </c>
      <c r="B217" s="90">
        <f>ROUND((+B218+B284+B313),0)</f>
        <v>10354897933</v>
      </c>
      <c r="C217" s="90">
        <f>ROUND((+C218+C284+C313),0)</f>
        <v>11077616123</v>
      </c>
      <c r="D217" s="90">
        <f>ROUND((+D218+D284+D313),0)</f>
        <v>836679774</v>
      </c>
      <c r="E217" s="91">
        <f>+C217/B217*100</f>
        <v>106.97948154270813</v>
      </c>
    </row>
    <row r="218" spans="1:6" x14ac:dyDescent="0.2">
      <c r="A218" s="97" t="s">
        <v>337</v>
      </c>
      <c r="B218" s="98">
        <f>ROUND((+B219+B274+B279+B281+B283),0)</f>
        <v>7186770866</v>
      </c>
      <c r="C218" s="98">
        <f>ROUND((+C219+C274+C279+C281+C283),0)</f>
        <v>7612787473</v>
      </c>
      <c r="D218" s="98">
        <f>ROUND((+D219+D274+D279+D281+D283),0)</f>
        <v>539978191</v>
      </c>
      <c r="E218" s="91">
        <f t="shared" ref="E218:E284" si="51">+C218/B218*100</f>
        <v>105.92778891860108</v>
      </c>
    </row>
    <row r="219" spans="1:6" x14ac:dyDescent="0.2">
      <c r="A219" s="97" t="s">
        <v>338</v>
      </c>
      <c r="B219" s="90">
        <f>ROUND(SUM(B220:B273),0)</f>
        <v>1179798337</v>
      </c>
      <c r="C219" s="90">
        <f>ROUND(SUM(C220:C273),0)</f>
        <v>1852356854</v>
      </c>
      <c r="D219" s="90">
        <f>ROUND(SUM(D220:D273),0)</f>
        <v>672558517</v>
      </c>
      <c r="E219" s="91">
        <f t="shared" si="51"/>
        <v>157.00622690401369</v>
      </c>
    </row>
    <row r="220" spans="1:6" x14ac:dyDescent="0.2">
      <c r="A220" s="127" t="s">
        <v>339</v>
      </c>
      <c r="B220" s="93">
        <v>14500000</v>
      </c>
      <c r="C220" s="93">
        <v>10921657</v>
      </c>
      <c r="D220" s="93">
        <f t="shared" ref="D220:D278" si="52">+C220-B220</f>
        <v>-3578343</v>
      </c>
      <c r="E220" s="95">
        <f t="shared" si="51"/>
        <v>75.321772413793113</v>
      </c>
    </row>
    <row r="221" spans="1:6" x14ac:dyDescent="0.2">
      <c r="A221" s="128" t="s">
        <v>340</v>
      </c>
      <c r="B221" s="93">
        <v>182245643</v>
      </c>
      <c r="C221" s="93">
        <v>224045403</v>
      </c>
      <c r="D221" s="93">
        <f t="shared" si="52"/>
        <v>41799760</v>
      </c>
      <c r="E221" s="95">
        <f t="shared" si="51"/>
        <v>122.93594475671499</v>
      </c>
      <c r="F221" s="68"/>
    </row>
    <row r="222" spans="1:6" x14ac:dyDescent="0.2">
      <c r="A222" s="128" t="s">
        <v>341</v>
      </c>
      <c r="B222" s="93">
        <v>2237536</v>
      </c>
      <c r="C222" s="93">
        <v>2042882</v>
      </c>
      <c r="D222" s="93">
        <f t="shared" si="52"/>
        <v>-194654</v>
      </c>
      <c r="E222" s="95">
        <f t="shared" si="51"/>
        <v>91.300519857557589</v>
      </c>
      <c r="F222" s="68"/>
    </row>
    <row r="223" spans="1:6" x14ac:dyDescent="0.2">
      <c r="A223" s="128" t="s">
        <v>342</v>
      </c>
      <c r="B223" s="93">
        <v>6061955</v>
      </c>
      <c r="C223" s="93">
        <v>5053655</v>
      </c>
      <c r="D223" s="93">
        <f t="shared" si="52"/>
        <v>-1008300</v>
      </c>
      <c r="E223" s="95">
        <f t="shared" si="51"/>
        <v>83.366752145141305</v>
      </c>
      <c r="F223" s="68"/>
    </row>
    <row r="224" spans="1:6" x14ac:dyDescent="0.2">
      <c r="A224" s="128" t="s">
        <v>343</v>
      </c>
      <c r="B224" s="93">
        <v>1851595</v>
      </c>
      <c r="C224" s="93">
        <v>2414348</v>
      </c>
      <c r="D224" s="93">
        <f t="shared" si="52"/>
        <v>562753</v>
      </c>
      <c r="E224" s="95">
        <f t="shared" si="51"/>
        <v>130.39287749210814</v>
      </c>
      <c r="F224" s="68"/>
    </row>
    <row r="225" spans="1:6" x14ac:dyDescent="0.2">
      <c r="A225" s="128" t="s">
        <v>344</v>
      </c>
      <c r="B225" s="93">
        <v>26623600</v>
      </c>
      <c r="C225" s="93">
        <v>32775038</v>
      </c>
      <c r="D225" s="93">
        <f t="shared" si="52"/>
        <v>6151438</v>
      </c>
      <c r="E225" s="95">
        <f t="shared" si="51"/>
        <v>123.10520740996709</v>
      </c>
      <c r="F225" s="68"/>
    </row>
    <row r="226" spans="1:6" x14ac:dyDescent="0.2">
      <c r="A226" s="128" t="s">
        <v>345</v>
      </c>
      <c r="B226" s="93">
        <v>570684</v>
      </c>
      <c r="C226" s="93">
        <v>799832</v>
      </c>
      <c r="D226" s="93">
        <f t="shared" si="52"/>
        <v>229148</v>
      </c>
      <c r="E226" s="95">
        <f t="shared" si="51"/>
        <v>140.15321964519768</v>
      </c>
      <c r="F226" s="68"/>
    </row>
    <row r="227" spans="1:6" x14ac:dyDescent="0.2">
      <c r="A227" s="128" t="s">
        <v>346</v>
      </c>
      <c r="B227" s="93">
        <v>105350233</v>
      </c>
      <c r="C227" s="93">
        <v>129221509</v>
      </c>
      <c r="D227" s="93">
        <f t="shared" si="52"/>
        <v>23871276</v>
      </c>
      <c r="E227" s="95">
        <f t="shared" si="51"/>
        <v>122.6589683954472</v>
      </c>
      <c r="F227" s="68"/>
    </row>
    <row r="228" spans="1:6" ht="13.5" thickBot="1" x14ac:dyDescent="0.25">
      <c r="A228" s="128" t="s">
        <v>347</v>
      </c>
      <c r="B228" s="93">
        <v>5000000</v>
      </c>
      <c r="C228" s="93">
        <v>9857609</v>
      </c>
      <c r="D228" s="107">
        <f t="shared" si="52"/>
        <v>4857609</v>
      </c>
      <c r="E228" s="95">
        <f t="shared" si="51"/>
        <v>197.15218000000002</v>
      </c>
      <c r="F228" s="68"/>
    </row>
    <row r="229" spans="1:6" ht="13.5" thickBot="1" x14ac:dyDescent="0.25">
      <c r="A229" s="69" t="s">
        <v>168</v>
      </c>
      <c r="B229" s="70" t="s">
        <v>169</v>
      </c>
      <c r="C229" s="70" t="s">
        <v>170</v>
      </c>
      <c r="D229" s="71" t="s">
        <v>171</v>
      </c>
      <c r="E229" s="71" t="s">
        <v>172</v>
      </c>
    </row>
    <row r="230" spans="1:6" ht="25.5" x14ac:dyDescent="0.2">
      <c r="A230" s="128" t="s">
        <v>348</v>
      </c>
      <c r="B230" s="93">
        <v>10026689</v>
      </c>
      <c r="C230" s="93">
        <v>15407991</v>
      </c>
      <c r="D230" s="93">
        <f t="shared" si="52"/>
        <v>5381302</v>
      </c>
      <c r="E230" s="95">
        <f t="shared" si="51"/>
        <v>153.66978072223043</v>
      </c>
      <c r="F230" s="68"/>
    </row>
    <row r="231" spans="1:6" x14ac:dyDescent="0.2">
      <c r="A231" s="128" t="s">
        <v>349</v>
      </c>
      <c r="B231" s="93">
        <v>2164839</v>
      </c>
      <c r="C231" s="93">
        <v>119386927</v>
      </c>
      <c r="D231" s="93">
        <f t="shared" si="52"/>
        <v>117222088</v>
      </c>
      <c r="E231" s="95">
        <f t="shared" si="51"/>
        <v>5514.8178224801013</v>
      </c>
      <c r="F231" s="68"/>
    </row>
    <row r="232" spans="1:6" ht="25.5" x14ac:dyDescent="0.2">
      <c r="A232" s="128" t="s">
        <v>350</v>
      </c>
      <c r="B232" s="93">
        <v>0</v>
      </c>
      <c r="C232" s="93">
        <v>128370126</v>
      </c>
      <c r="D232" s="93">
        <f t="shared" si="52"/>
        <v>128370126</v>
      </c>
      <c r="E232" s="95">
        <v>100</v>
      </c>
      <c r="F232" s="68"/>
    </row>
    <row r="233" spans="1:6" ht="25.5" x14ac:dyDescent="0.2">
      <c r="A233" s="128" t="s">
        <v>351</v>
      </c>
      <c r="B233" s="93">
        <v>61124654</v>
      </c>
      <c r="C233" s="93">
        <v>52788863</v>
      </c>
      <c r="D233" s="93">
        <f t="shared" si="52"/>
        <v>-8335791</v>
      </c>
      <c r="E233" s="95">
        <f t="shared" si="51"/>
        <v>86.362636915703433</v>
      </c>
      <c r="F233" s="68"/>
    </row>
    <row r="234" spans="1:6" x14ac:dyDescent="0.2">
      <c r="A234" s="128" t="s">
        <v>352</v>
      </c>
      <c r="B234" s="93">
        <v>32212900</v>
      </c>
      <c r="C234" s="93">
        <v>28682666</v>
      </c>
      <c r="D234" s="107">
        <f t="shared" si="52"/>
        <v>-3530234</v>
      </c>
      <c r="E234" s="95">
        <f t="shared" si="51"/>
        <v>89.040930807223191</v>
      </c>
      <c r="F234" s="68"/>
    </row>
    <row r="235" spans="1:6" x14ac:dyDescent="0.2">
      <c r="A235" s="128" t="s">
        <v>353</v>
      </c>
      <c r="B235" s="93">
        <v>10930700</v>
      </c>
      <c r="C235" s="93">
        <v>28435155</v>
      </c>
      <c r="D235" s="107">
        <f t="shared" si="52"/>
        <v>17504455</v>
      </c>
      <c r="E235" s="95">
        <f t="shared" si="51"/>
        <v>260.14029293640846</v>
      </c>
      <c r="F235" s="68"/>
    </row>
    <row r="236" spans="1:6" x14ac:dyDescent="0.2">
      <c r="A236" s="128" t="s">
        <v>354</v>
      </c>
      <c r="B236" s="93">
        <v>10655170</v>
      </c>
      <c r="C236" s="93">
        <v>13686958</v>
      </c>
      <c r="D236" s="93">
        <f t="shared" si="52"/>
        <v>3031788</v>
      </c>
      <c r="E236" s="95">
        <f t="shared" si="51"/>
        <v>128.45368023222531</v>
      </c>
      <c r="F236" s="68"/>
    </row>
    <row r="237" spans="1:6" x14ac:dyDescent="0.2">
      <c r="A237" s="128" t="s">
        <v>355</v>
      </c>
      <c r="B237" s="93">
        <v>7640108</v>
      </c>
      <c r="C237" s="93">
        <v>8765914</v>
      </c>
      <c r="D237" s="107">
        <f t="shared" si="52"/>
        <v>1125806</v>
      </c>
      <c r="E237" s="95">
        <f t="shared" si="51"/>
        <v>114.73547232578387</v>
      </c>
      <c r="F237" s="68"/>
    </row>
    <row r="238" spans="1:6" x14ac:dyDescent="0.2">
      <c r="A238" s="128" t="s">
        <v>356</v>
      </c>
      <c r="B238" s="93">
        <v>8707922</v>
      </c>
      <c r="C238" s="93">
        <v>8715527</v>
      </c>
      <c r="D238" s="107">
        <f t="shared" si="52"/>
        <v>7605</v>
      </c>
      <c r="E238" s="95">
        <f t="shared" si="51"/>
        <v>100.08733426872681</v>
      </c>
      <c r="F238" s="68"/>
    </row>
    <row r="239" spans="1:6" x14ac:dyDescent="0.2">
      <c r="A239" s="128" t="s">
        <v>357</v>
      </c>
      <c r="B239" s="93">
        <v>2093980</v>
      </c>
      <c r="C239" s="93">
        <v>2240876</v>
      </c>
      <c r="D239" s="107">
        <f t="shared" si="52"/>
        <v>146896</v>
      </c>
      <c r="E239" s="95">
        <f t="shared" si="51"/>
        <v>107.01515773789625</v>
      </c>
      <c r="F239" s="68"/>
    </row>
    <row r="240" spans="1:6" x14ac:dyDescent="0.2">
      <c r="A240" s="128" t="s">
        <v>358</v>
      </c>
      <c r="B240" s="93">
        <v>83723268</v>
      </c>
      <c r="C240" s="93">
        <v>162599289</v>
      </c>
      <c r="D240" s="93">
        <f t="shared" si="52"/>
        <v>78876021</v>
      </c>
      <c r="E240" s="95">
        <f t="shared" si="51"/>
        <v>194.2103944150866</v>
      </c>
      <c r="F240" s="68"/>
    </row>
    <row r="241" spans="1:6" ht="25.5" x14ac:dyDescent="0.2">
      <c r="A241" s="128" t="s">
        <v>359</v>
      </c>
      <c r="B241" s="93">
        <v>93672621</v>
      </c>
      <c r="C241" s="93">
        <v>70908260</v>
      </c>
      <c r="D241" s="93">
        <f t="shared" si="52"/>
        <v>-22764361</v>
      </c>
      <c r="E241" s="95">
        <f t="shared" si="51"/>
        <v>75.697956609968244</v>
      </c>
      <c r="F241" s="68"/>
    </row>
    <row r="242" spans="1:6" ht="25.5" x14ac:dyDescent="0.2">
      <c r="A242" s="128" t="s">
        <v>360</v>
      </c>
      <c r="B242" s="93">
        <v>3808456</v>
      </c>
      <c r="C242" s="93">
        <v>15317954</v>
      </c>
      <c r="D242" s="93">
        <f t="shared" si="52"/>
        <v>11509498</v>
      </c>
      <c r="E242" s="95">
        <f t="shared" si="51"/>
        <v>402.20903169158316</v>
      </c>
      <c r="F242" s="68"/>
    </row>
    <row r="243" spans="1:6" x14ac:dyDescent="0.2">
      <c r="A243" s="128" t="s">
        <v>361</v>
      </c>
      <c r="B243" s="93">
        <v>184423772</v>
      </c>
      <c r="C243" s="93">
        <v>211931054</v>
      </c>
      <c r="D243" s="107">
        <f t="shared" si="52"/>
        <v>27507282</v>
      </c>
      <c r="E243" s="95">
        <f t="shared" si="51"/>
        <v>114.91525832147063</v>
      </c>
      <c r="F243" s="68"/>
    </row>
    <row r="244" spans="1:6" x14ac:dyDescent="0.2">
      <c r="A244" s="128" t="s">
        <v>362</v>
      </c>
      <c r="B244" s="93">
        <v>2067960</v>
      </c>
      <c r="C244" s="93">
        <v>1942418</v>
      </c>
      <c r="D244" s="107">
        <f t="shared" si="52"/>
        <v>-125542</v>
      </c>
      <c r="E244" s="95">
        <f t="shared" si="51"/>
        <v>93.929186251184731</v>
      </c>
      <c r="F244" s="68"/>
    </row>
    <row r="245" spans="1:6" x14ac:dyDescent="0.2">
      <c r="A245" s="128" t="s">
        <v>363</v>
      </c>
      <c r="B245" s="93">
        <v>1040640</v>
      </c>
      <c r="C245" s="93">
        <v>5641348</v>
      </c>
      <c r="D245" s="107">
        <f t="shared" si="52"/>
        <v>4600708</v>
      </c>
      <c r="E245" s="95">
        <f t="shared" si="51"/>
        <v>542.10370541205407</v>
      </c>
      <c r="F245" s="68"/>
    </row>
    <row r="246" spans="1:6" x14ac:dyDescent="0.2">
      <c r="A246" s="128" t="s">
        <v>364</v>
      </c>
      <c r="B246" s="93">
        <v>1400000</v>
      </c>
      <c r="C246" s="93">
        <v>2182474</v>
      </c>
      <c r="D246" s="107">
        <f t="shared" si="52"/>
        <v>782474</v>
      </c>
      <c r="E246" s="95">
        <f t="shared" si="51"/>
        <v>155.89099999999999</v>
      </c>
      <c r="F246" s="68"/>
    </row>
    <row r="247" spans="1:6" x14ac:dyDescent="0.2">
      <c r="A247" s="128" t="s">
        <v>365</v>
      </c>
      <c r="B247" s="93">
        <v>164655450</v>
      </c>
      <c r="C247" s="93">
        <v>251230802</v>
      </c>
      <c r="D247" s="107">
        <f t="shared" si="52"/>
        <v>86575352</v>
      </c>
      <c r="E247" s="95">
        <f t="shared" si="51"/>
        <v>152.5797062897098</v>
      </c>
      <c r="F247" s="68"/>
    </row>
    <row r="248" spans="1:6" x14ac:dyDescent="0.2">
      <c r="A248" s="128" t="s">
        <v>366</v>
      </c>
      <c r="B248" s="93">
        <v>16412286</v>
      </c>
      <c r="C248" s="93">
        <v>14949909</v>
      </c>
      <c r="D248" s="107">
        <f t="shared" si="52"/>
        <v>-1462377</v>
      </c>
      <c r="E248" s="95">
        <f t="shared" si="51"/>
        <v>91.089742160232888</v>
      </c>
      <c r="F248" s="68"/>
    </row>
    <row r="249" spans="1:6" x14ac:dyDescent="0.2">
      <c r="A249" s="128" t="s">
        <v>367</v>
      </c>
      <c r="B249" s="93">
        <v>756230</v>
      </c>
      <c r="C249" s="93">
        <v>751143</v>
      </c>
      <c r="D249" s="107">
        <f t="shared" si="52"/>
        <v>-5087</v>
      </c>
      <c r="E249" s="95">
        <f t="shared" si="51"/>
        <v>99.327321053118752</v>
      </c>
      <c r="F249" s="68"/>
    </row>
    <row r="250" spans="1:6" x14ac:dyDescent="0.2">
      <c r="A250" s="128" t="s">
        <v>368</v>
      </c>
      <c r="B250" s="93">
        <v>21800000</v>
      </c>
      <c r="C250" s="93">
        <v>23456619</v>
      </c>
      <c r="D250" s="107">
        <f t="shared" si="52"/>
        <v>1656619</v>
      </c>
      <c r="E250" s="95">
        <f t="shared" si="51"/>
        <v>107.59916972477063</v>
      </c>
      <c r="F250" s="68"/>
    </row>
    <row r="251" spans="1:6" x14ac:dyDescent="0.2">
      <c r="A251" s="128" t="s">
        <v>369</v>
      </c>
      <c r="B251" s="93">
        <v>407500</v>
      </c>
      <c r="C251" s="93">
        <v>2562725</v>
      </c>
      <c r="D251" s="107">
        <f t="shared" si="52"/>
        <v>2155225</v>
      </c>
      <c r="E251" s="95">
        <f t="shared" si="51"/>
        <v>628.88957055214723</v>
      </c>
      <c r="F251" s="68"/>
    </row>
    <row r="252" spans="1:6" x14ac:dyDescent="0.2">
      <c r="A252" s="127" t="s">
        <v>370</v>
      </c>
      <c r="B252" s="93">
        <v>318029</v>
      </c>
      <c r="C252" s="93">
        <v>2966800</v>
      </c>
      <c r="D252" s="107">
        <f t="shared" si="52"/>
        <v>2648771</v>
      </c>
      <c r="E252" s="95">
        <f t="shared" si="51"/>
        <v>932.87090171022146</v>
      </c>
      <c r="F252" s="68"/>
    </row>
    <row r="253" spans="1:6" x14ac:dyDescent="0.2">
      <c r="A253" s="128" t="s">
        <v>371</v>
      </c>
      <c r="B253" s="93">
        <v>103000</v>
      </c>
      <c r="C253" s="93">
        <v>91542</v>
      </c>
      <c r="D253" s="107">
        <f t="shared" si="52"/>
        <v>-11458</v>
      </c>
      <c r="E253" s="95">
        <f t="shared" si="51"/>
        <v>88.8757281553398</v>
      </c>
      <c r="F253" s="68"/>
    </row>
    <row r="254" spans="1:6" x14ac:dyDescent="0.2">
      <c r="A254" s="128" t="s">
        <v>372</v>
      </c>
      <c r="B254" s="93">
        <v>3195938</v>
      </c>
      <c r="C254" s="93">
        <v>3748614</v>
      </c>
      <c r="D254" s="107">
        <f t="shared" si="52"/>
        <v>552676</v>
      </c>
      <c r="E254" s="95">
        <f t="shared" si="51"/>
        <v>117.2930763988538</v>
      </c>
      <c r="F254" s="68"/>
    </row>
    <row r="255" spans="1:6" x14ac:dyDescent="0.2">
      <c r="A255" s="128" t="s">
        <v>373</v>
      </c>
      <c r="B255" s="93">
        <v>1416890</v>
      </c>
      <c r="C255" s="93">
        <v>2153622</v>
      </c>
      <c r="D255" s="107">
        <f t="shared" si="52"/>
        <v>736732</v>
      </c>
      <c r="E255" s="95">
        <f t="shared" si="51"/>
        <v>151.99641468286177</v>
      </c>
      <c r="F255" s="68"/>
    </row>
    <row r="256" spans="1:6" x14ac:dyDescent="0.2">
      <c r="A256" s="128" t="s">
        <v>374</v>
      </c>
      <c r="B256" s="93">
        <v>1500000</v>
      </c>
      <c r="C256" s="93">
        <v>1874723</v>
      </c>
      <c r="D256" s="107">
        <f t="shared" si="52"/>
        <v>374723</v>
      </c>
      <c r="E256" s="95">
        <f t="shared" si="51"/>
        <v>124.98153333333333</v>
      </c>
      <c r="F256" s="68"/>
    </row>
    <row r="257" spans="1:6" x14ac:dyDescent="0.2">
      <c r="A257" s="128" t="s">
        <v>375</v>
      </c>
      <c r="B257" s="93">
        <v>2995717</v>
      </c>
      <c r="C257" s="93">
        <v>3468380</v>
      </c>
      <c r="D257" s="107">
        <f t="shared" si="52"/>
        <v>472663</v>
      </c>
      <c r="E257" s="95">
        <f t="shared" si="51"/>
        <v>115.7779589994649</v>
      </c>
      <c r="F257" s="68"/>
    </row>
    <row r="258" spans="1:6" x14ac:dyDescent="0.2">
      <c r="A258" s="128" t="s">
        <v>376</v>
      </c>
      <c r="B258" s="93">
        <v>2306720</v>
      </c>
      <c r="C258" s="93">
        <v>5954140</v>
      </c>
      <c r="D258" s="107">
        <f t="shared" si="52"/>
        <v>3647420</v>
      </c>
      <c r="E258" s="95">
        <f t="shared" si="51"/>
        <v>258.12148852049665</v>
      </c>
      <c r="F258" s="68"/>
    </row>
    <row r="259" spans="1:6" x14ac:dyDescent="0.2">
      <c r="A259" s="128" t="s">
        <v>377</v>
      </c>
      <c r="B259" s="93">
        <v>76790252</v>
      </c>
      <c r="C259" s="93">
        <v>127560639</v>
      </c>
      <c r="D259" s="107">
        <f t="shared" si="52"/>
        <v>50770387</v>
      </c>
      <c r="E259" s="95">
        <f t="shared" si="51"/>
        <v>166.11566660830857</v>
      </c>
      <c r="F259" s="68"/>
    </row>
    <row r="260" spans="1:6" x14ac:dyDescent="0.2">
      <c r="A260" s="128" t="s">
        <v>378</v>
      </c>
      <c r="B260" s="93">
        <v>10370000</v>
      </c>
      <c r="C260" s="93">
        <v>12199500</v>
      </c>
      <c r="D260" s="107">
        <f t="shared" si="52"/>
        <v>1829500</v>
      </c>
      <c r="E260" s="95">
        <f t="shared" si="51"/>
        <v>117.64223722275796</v>
      </c>
      <c r="F260" s="68"/>
    </row>
    <row r="261" spans="1:6" ht="25.5" x14ac:dyDescent="0.2">
      <c r="A261" s="128" t="s">
        <v>379</v>
      </c>
      <c r="B261" s="93">
        <v>250000</v>
      </c>
      <c r="C261" s="93">
        <v>6718</v>
      </c>
      <c r="D261" s="93">
        <f t="shared" si="52"/>
        <v>-243282</v>
      </c>
      <c r="E261" s="95">
        <f t="shared" si="51"/>
        <v>2.6871999999999998</v>
      </c>
      <c r="F261" s="68"/>
    </row>
    <row r="262" spans="1:6" x14ac:dyDescent="0.2">
      <c r="A262" s="128" t="s">
        <v>380</v>
      </c>
      <c r="B262" s="93">
        <v>1856160</v>
      </c>
      <c r="C262" s="93">
        <v>19534099</v>
      </c>
      <c r="D262" s="107">
        <f t="shared" si="52"/>
        <v>17677939</v>
      </c>
      <c r="E262" s="95">
        <f t="shared" si="51"/>
        <v>1052.3930587880357</v>
      </c>
      <c r="F262" s="68"/>
    </row>
    <row r="263" spans="1:6" x14ac:dyDescent="0.2">
      <c r="A263" s="128" t="s">
        <v>381</v>
      </c>
      <c r="B263" s="93">
        <v>4500000</v>
      </c>
      <c r="C263" s="93">
        <v>0</v>
      </c>
      <c r="D263" s="107">
        <f t="shared" si="52"/>
        <v>-4500000</v>
      </c>
      <c r="E263" s="95">
        <f t="shared" si="51"/>
        <v>0</v>
      </c>
      <c r="F263" s="68"/>
    </row>
    <row r="264" spans="1:6" x14ac:dyDescent="0.2">
      <c r="A264" s="128" t="s">
        <v>382</v>
      </c>
      <c r="B264" s="93">
        <v>1479225</v>
      </c>
      <c r="C264" s="93">
        <v>3592456</v>
      </c>
      <c r="D264" s="107">
        <f t="shared" si="52"/>
        <v>2113231</v>
      </c>
      <c r="E264" s="95">
        <f t="shared" si="51"/>
        <v>242.86068718416738</v>
      </c>
      <c r="F264" s="68"/>
    </row>
    <row r="265" spans="1:6" ht="25.5" x14ac:dyDescent="0.2">
      <c r="A265" s="128" t="s">
        <v>383</v>
      </c>
      <c r="B265" s="93">
        <v>1036375</v>
      </c>
      <c r="C265" s="93">
        <v>275929</v>
      </c>
      <c r="D265" s="93">
        <f t="shared" si="52"/>
        <v>-760446</v>
      </c>
      <c r="E265" s="95">
        <f t="shared" si="51"/>
        <v>26.62443613556869</v>
      </c>
      <c r="F265" s="68"/>
    </row>
    <row r="266" spans="1:6" x14ac:dyDescent="0.2">
      <c r="A266" s="128" t="s">
        <v>384</v>
      </c>
      <c r="B266" s="93">
        <v>6813640</v>
      </c>
      <c r="C266" s="93">
        <v>7934328</v>
      </c>
      <c r="D266" s="107">
        <f t="shared" si="52"/>
        <v>1120688</v>
      </c>
      <c r="E266" s="95">
        <f t="shared" si="51"/>
        <v>116.44771370368849</v>
      </c>
      <c r="F266" s="68"/>
    </row>
    <row r="267" spans="1:6" ht="25.5" x14ac:dyDescent="0.2">
      <c r="A267" s="128" t="s">
        <v>385</v>
      </c>
      <c r="B267" s="93">
        <v>700000</v>
      </c>
      <c r="C267" s="93">
        <v>9107375</v>
      </c>
      <c r="D267" s="93">
        <f t="shared" si="52"/>
        <v>8407375</v>
      </c>
      <c r="E267" s="95">
        <f t="shared" si="51"/>
        <v>1301.0535714285713</v>
      </c>
      <c r="F267" s="68"/>
    </row>
    <row r="268" spans="1:6" x14ac:dyDescent="0.2">
      <c r="A268" s="127" t="s">
        <v>386</v>
      </c>
      <c r="B268" s="93">
        <v>0</v>
      </c>
      <c r="C268" s="93">
        <v>0</v>
      </c>
      <c r="D268" s="93">
        <f t="shared" si="52"/>
        <v>0</v>
      </c>
      <c r="E268" s="95">
        <v>0</v>
      </c>
      <c r="F268" s="68"/>
    </row>
    <row r="269" spans="1:6" x14ac:dyDescent="0.2">
      <c r="A269" s="128" t="s">
        <v>387</v>
      </c>
      <c r="B269" s="93">
        <v>0</v>
      </c>
      <c r="C269" s="93">
        <v>44578686</v>
      </c>
      <c r="D269" s="107">
        <f t="shared" si="52"/>
        <v>44578686</v>
      </c>
      <c r="E269" s="95">
        <v>100</v>
      </c>
      <c r="F269" s="68"/>
    </row>
    <row r="270" spans="1:6" x14ac:dyDescent="0.2">
      <c r="A270" s="127" t="s">
        <v>388</v>
      </c>
      <c r="B270" s="93">
        <v>0</v>
      </c>
      <c r="C270" s="93">
        <v>151514</v>
      </c>
      <c r="D270" s="107">
        <f t="shared" si="52"/>
        <v>151514</v>
      </c>
      <c r="E270" s="95">
        <v>100</v>
      </c>
      <c r="F270" s="68"/>
    </row>
    <row r="271" spans="1:6" x14ac:dyDescent="0.2">
      <c r="A271" s="128" t="s">
        <v>389</v>
      </c>
      <c r="B271" s="93">
        <v>0</v>
      </c>
      <c r="C271" s="93">
        <v>870101</v>
      </c>
      <c r="D271" s="107">
        <f t="shared" si="52"/>
        <v>870101</v>
      </c>
      <c r="E271" s="95">
        <v>100</v>
      </c>
      <c r="F271" s="68"/>
    </row>
    <row r="272" spans="1:6" ht="25.5" x14ac:dyDescent="0.2">
      <c r="A272" s="128" t="s">
        <v>390</v>
      </c>
      <c r="B272" s="93">
        <v>0</v>
      </c>
      <c r="C272" s="93">
        <v>10949051</v>
      </c>
      <c r="D272" s="107">
        <f t="shared" si="52"/>
        <v>10949051</v>
      </c>
      <c r="E272" s="95">
        <v>100</v>
      </c>
      <c r="F272" s="68"/>
    </row>
    <row r="273" spans="1:6" x14ac:dyDescent="0.2">
      <c r="A273" s="128" t="s">
        <v>391</v>
      </c>
      <c r="B273" s="93">
        <v>0</v>
      </c>
      <c r="C273" s="93">
        <v>8251706</v>
      </c>
      <c r="D273" s="107">
        <f t="shared" si="52"/>
        <v>8251706</v>
      </c>
      <c r="E273" s="95">
        <v>100</v>
      </c>
      <c r="F273" s="68"/>
    </row>
    <row r="274" spans="1:6" x14ac:dyDescent="0.2">
      <c r="A274" s="97" t="s">
        <v>392</v>
      </c>
      <c r="B274" s="90">
        <f>ROUND(SUM(B275:B278),0)</f>
        <v>40203090</v>
      </c>
      <c r="C274" s="90">
        <f t="shared" ref="C274" si="53">ROUND(SUM(C275:C278),0)</f>
        <v>97001586</v>
      </c>
      <c r="D274" s="90">
        <f>ROUND(SUM(D275:D278),0)</f>
        <v>56798496</v>
      </c>
      <c r="E274" s="91">
        <f t="shared" si="51"/>
        <v>241.2789315448141</v>
      </c>
      <c r="F274" s="68"/>
    </row>
    <row r="275" spans="1:6" x14ac:dyDescent="0.2">
      <c r="A275" s="96" t="s">
        <v>393</v>
      </c>
      <c r="B275" s="93">
        <v>16277090</v>
      </c>
      <c r="C275" s="93">
        <v>14698361</v>
      </c>
      <c r="D275" s="93">
        <f t="shared" si="52"/>
        <v>-1578729</v>
      </c>
      <c r="E275" s="95">
        <f t="shared" si="51"/>
        <v>90.300913738266487</v>
      </c>
      <c r="F275" s="68"/>
    </row>
    <row r="276" spans="1:6" ht="25.5" x14ac:dyDescent="0.2">
      <c r="A276" s="96" t="s">
        <v>394</v>
      </c>
      <c r="B276" s="93">
        <v>14500000</v>
      </c>
      <c r="C276" s="93">
        <v>3177902</v>
      </c>
      <c r="D276" s="93">
        <f t="shared" si="52"/>
        <v>-11322098</v>
      </c>
      <c r="E276" s="95">
        <f t="shared" si="51"/>
        <v>21.916565517241381</v>
      </c>
    </row>
    <row r="277" spans="1:6" x14ac:dyDescent="0.2">
      <c r="A277" s="96" t="s">
        <v>395</v>
      </c>
      <c r="B277" s="93">
        <v>9426000</v>
      </c>
      <c r="C277" s="93">
        <v>13690526</v>
      </c>
      <c r="D277" s="93">
        <f t="shared" si="52"/>
        <v>4264526</v>
      </c>
      <c r="E277" s="95">
        <f t="shared" si="51"/>
        <v>145.24215998302569</v>
      </c>
    </row>
    <row r="278" spans="1:6" x14ac:dyDescent="0.2">
      <c r="A278" s="96" t="s">
        <v>396</v>
      </c>
      <c r="B278" s="93">
        <v>0</v>
      </c>
      <c r="C278" s="93">
        <v>65434797</v>
      </c>
      <c r="D278" s="93">
        <f t="shared" si="52"/>
        <v>65434797</v>
      </c>
      <c r="E278" s="95">
        <v>100</v>
      </c>
    </row>
    <row r="279" spans="1:6" x14ac:dyDescent="0.2">
      <c r="A279" s="97" t="s">
        <v>397</v>
      </c>
      <c r="B279" s="90">
        <f>ROUND(+B280,0)</f>
        <v>5828413016</v>
      </c>
      <c r="C279" s="90">
        <f t="shared" ref="C279:D279" si="54">ROUND(+C280,0)</f>
        <v>5534480633</v>
      </c>
      <c r="D279" s="90">
        <f t="shared" si="54"/>
        <v>-293932383</v>
      </c>
      <c r="E279" s="91">
        <f t="shared" si="51"/>
        <v>94.956905384139645</v>
      </c>
    </row>
    <row r="280" spans="1:6" ht="25.5" x14ac:dyDescent="0.2">
      <c r="A280" s="96" t="s">
        <v>398</v>
      </c>
      <c r="B280" s="93">
        <v>5828413016</v>
      </c>
      <c r="C280" s="93">
        <v>5534480633</v>
      </c>
      <c r="D280" s="93">
        <f>+C280-B280</f>
        <v>-293932383</v>
      </c>
      <c r="E280" s="95">
        <f t="shared" si="51"/>
        <v>94.956905384139645</v>
      </c>
    </row>
    <row r="281" spans="1:6" x14ac:dyDescent="0.2">
      <c r="A281" s="97" t="s">
        <v>399</v>
      </c>
      <c r="B281" s="90">
        <f>+B282</f>
        <v>138356423</v>
      </c>
      <c r="C281" s="90">
        <f t="shared" ref="C281:D281" si="55">+C282</f>
        <v>128948400</v>
      </c>
      <c r="D281" s="90">
        <f t="shared" si="55"/>
        <v>104553561</v>
      </c>
      <c r="E281" s="91">
        <f t="shared" si="51"/>
        <v>93.200154502404274</v>
      </c>
    </row>
    <row r="282" spans="1:6" x14ac:dyDescent="0.2">
      <c r="A282" s="129" t="s">
        <v>400</v>
      </c>
      <c r="B282" s="93">
        <v>138356423</v>
      </c>
      <c r="C282" s="93">
        <v>128948400</v>
      </c>
      <c r="D282" s="93">
        <v>104553561</v>
      </c>
      <c r="E282" s="95">
        <f t="shared" si="51"/>
        <v>93.200154502404274</v>
      </c>
    </row>
    <row r="283" spans="1:6" x14ac:dyDescent="0.2">
      <c r="A283" s="97" t="s">
        <v>4</v>
      </c>
      <c r="B283" s="93">
        <v>0</v>
      </c>
      <c r="C283" s="93">
        <v>0</v>
      </c>
      <c r="D283" s="93">
        <f>+C283-B283</f>
        <v>0</v>
      </c>
      <c r="E283" s="95">
        <v>0</v>
      </c>
    </row>
    <row r="284" spans="1:6" x14ac:dyDescent="0.2">
      <c r="A284" s="97" t="s">
        <v>5</v>
      </c>
      <c r="B284" s="90">
        <f>ROUND(SUM(B285:B310),0)</f>
        <v>3102127067</v>
      </c>
      <c r="C284" s="90">
        <f t="shared" ref="C284:D284" si="56">ROUND(SUM(C285:C310),0)</f>
        <v>3404828650</v>
      </c>
      <c r="D284" s="90">
        <f t="shared" si="56"/>
        <v>302701583</v>
      </c>
      <c r="E284" s="91">
        <f t="shared" si="51"/>
        <v>109.75787182350129</v>
      </c>
    </row>
    <row r="285" spans="1:6" ht="25.5" x14ac:dyDescent="0.2">
      <c r="A285" s="106" t="s">
        <v>401</v>
      </c>
      <c r="B285" s="93">
        <v>630000000</v>
      </c>
      <c r="C285" s="94">
        <v>586973098</v>
      </c>
      <c r="D285" s="93">
        <f t="shared" ref="D285:D314" si="57">+C285-B285</f>
        <v>-43026902</v>
      </c>
      <c r="E285" s="95">
        <f t="shared" ref="E285:E296" si="58">+C285/B285*100</f>
        <v>93.170333015873013</v>
      </c>
    </row>
    <row r="286" spans="1:6" ht="25.5" x14ac:dyDescent="0.2">
      <c r="A286" s="96" t="s">
        <v>402</v>
      </c>
      <c r="B286" s="93">
        <v>20075000</v>
      </c>
      <c r="C286" s="94">
        <v>10668650</v>
      </c>
      <c r="D286" s="93">
        <f t="shared" si="57"/>
        <v>-9406350</v>
      </c>
      <c r="E286" s="95">
        <f t="shared" si="58"/>
        <v>53.143960149439607</v>
      </c>
    </row>
    <row r="287" spans="1:6" x14ac:dyDescent="0.2">
      <c r="A287" s="96" t="s">
        <v>403</v>
      </c>
      <c r="B287" s="93">
        <v>471737259</v>
      </c>
      <c r="C287" s="94">
        <v>49957480</v>
      </c>
      <c r="D287" s="93">
        <f t="shared" si="57"/>
        <v>-421779779</v>
      </c>
      <c r="E287" s="95">
        <f t="shared" si="58"/>
        <v>10.590106896771536</v>
      </c>
    </row>
    <row r="288" spans="1:6" x14ac:dyDescent="0.2">
      <c r="A288" s="109" t="s">
        <v>404</v>
      </c>
      <c r="B288" s="93">
        <v>0</v>
      </c>
      <c r="C288" s="94">
        <v>175</v>
      </c>
      <c r="D288" s="93">
        <f t="shared" si="57"/>
        <v>175</v>
      </c>
      <c r="E288" s="95">
        <v>100</v>
      </c>
    </row>
    <row r="289" spans="1:5" ht="13.5" thickBot="1" x14ac:dyDescent="0.25">
      <c r="A289" s="106" t="s">
        <v>405</v>
      </c>
      <c r="B289" s="93">
        <v>0</v>
      </c>
      <c r="C289" s="94">
        <v>5513</v>
      </c>
      <c r="D289" s="130">
        <f t="shared" si="57"/>
        <v>5513</v>
      </c>
      <c r="E289" s="95">
        <v>100</v>
      </c>
    </row>
    <row r="290" spans="1:5" ht="13.5" thickBot="1" x14ac:dyDescent="0.25">
      <c r="A290" s="69" t="s">
        <v>168</v>
      </c>
      <c r="B290" s="70" t="s">
        <v>169</v>
      </c>
      <c r="C290" s="70" t="s">
        <v>170</v>
      </c>
      <c r="D290" s="71" t="s">
        <v>171</v>
      </c>
      <c r="E290" s="71" t="s">
        <v>172</v>
      </c>
    </row>
    <row r="291" spans="1:5" ht="25.5" x14ac:dyDescent="0.2">
      <c r="A291" s="96" t="s">
        <v>406</v>
      </c>
      <c r="B291" s="93">
        <v>0</v>
      </c>
      <c r="C291" s="94">
        <v>2995</v>
      </c>
      <c r="D291" s="93">
        <f t="shared" ref="D291" si="59">+C291-B291</f>
        <v>2995</v>
      </c>
      <c r="E291" s="95">
        <v>100</v>
      </c>
    </row>
    <row r="292" spans="1:5" ht="25.5" x14ac:dyDescent="0.2">
      <c r="A292" s="96" t="s">
        <v>407</v>
      </c>
      <c r="B292" s="93">
        <v>10451212</v>
      </c>
      <c r="C292" s="94">
        <v>10337294</v>
      </c>
      <c r="D292" s="93">
        <f t="shared" si="57"/>
        <v>-113918</v>
      </c>
      <c r="E292" s="95">
        <f t="shared" si="58"/>
        <v>98.910002016990944</v>
      </c>
    </row>
    <row r="293" spans="1:5" x14ac:dyDescent="0.2">
      <c r="A293" s="96" t="s">
        <v>408</v>
      </c>
      <c r="B293" s="93">
        <v>551040002</v>
      </c>
      <c r="C293" s="94">
        <v>516148304</v>
      </c>
      <c r="D293" s="130">
        <f t="shared" si="57"/>
        <v>-34891698</v>
      </c>
      <c r="E293" s="95">
        <f t="shared" si="58"/>
        <v>93.668028115316389</v>
      </c>
    </row>
    <row r="294" spans="1:5" ht="25.5" x14ac:dyDescent="0.2">
      <c r="A294" s="96" t="s">
        <v>409</v>
      </c>
      <c r="B294" s="93">
        <v>0</v>
      </c>
      <c r="C294" s="94">
        <v>0</v>
      </c>
      <c r="D294" s="93">
        <f t="shared" si="57"/>
        <v>0</v>
      </c>
      <c r="E294" s="95">
        <v>0</v>
      </c>
    </row>
    <row r="295" spans="1:5" x14ac:dyDescent="0.2">
      <c r="A295" s="96" t="s">
        <v>410</v>
      </c>
      <c r="B295" s="93">
        <v>0</v>
      </c>
      <c r="C295" s="94">
        <v>0</v>
      </c>
      <c r="D295" s="93">
        <f t="shared" si="57"/>
        <v>0</v>
      </c>
      <c r="E295" s="95">
        <v>0</v>
      </c>
    </row>
    <row r="296" spans="1:5" x14ac:dyDescent="0.2">
      <c r="A296" s="96" t="s">
        <v>411</v>
      </c>
      <c r="B296" s="93">
        <v>50000000</v>
      </c>
      <c r="C296" s="94">
        <v>0</v>
      </c>
      <c r="D296" s="130">
        <f t="shared" si="57"/>
        <v>-50000000</v>
      </c>
      <c r="E296" s="95">
        <f t="shared" si="58"/>
        <v>0</v>
      </c>
    </row>
    <row r="297" spans="1:5" ht="38.25" x14ac:dyDescent="0.2">
      <c r="A297" s="96" t="s">
        <v>412</v>
      </c>
      <c r="B297" s="93">
        <v>0</v>
      </c>
      <c r="C297" s="94">
        <v>701</v>
      </c>
      <c r="D297" s="94">
        <f t="shared" si="57"/>
        <v>701</v>
      </c>
      <c r="E297" s="95">
        <v>100</v>
      </c>
    </row>
    <row r="298" spans="1:5" x14ac:dyDescent="0.2">
      <c r="A298" s="96" t="s">
        <v>413</v>
      </c>
      <c r="B298" s="93">
        <v>0</v>
      </c>
      <c r="C298" s="94">
        <v>53941085</v>
      </c>
      <c r="D298" s="94">
        <f t="shared" si="57"/>
        <v>53941085</v>
      </c>
      <c r="E298" s="95">
        <v>100</v>
      </c>
    </row>
    <row r="299" spans="1:5" x14ac:dyDescent="0.2">
      <c r="A299" s="96" t="s">
        <v>414</v>
      </c>
      <c r="B299" s="93">
        <v>0</v>
      </c>
      <c r="C299" s="94">
        <v>226771</v>
      </c>
      <c r="D299" s="130">
        <f t="shared" si="57"/>
        <v>226771</v>
      </c>
      <c r="E299" s="95">
        <v>100</v>
      </c>
    </row>
    <row r="300" spans="1:5" x14ac:dyDescent="0.2">
      <c r="A300" s="96" t="s">
        <v>415</v>
      </c>
      <c r="B300" s="93">
        <v>0</v>
      </c>
      <c r="C300" s="93">
        <v>0</v>
      </c>
      <c r="D300" s="130">
        <f t="shared" si="57"/>
        <v>0</v>
      </c>
      <c r="E300" s="95">
        <v>0</v>
      </c>
    </row>
    <row r="301" spans="1:5" x14ac:dyDescent="0.2">
      <c r="A301" s="96" t="s">
        <v>416</v>
      </c>
      <c r="B301" s="93">
        <v>0</v>
      </c>
      <c r="C301" s="93">
        <v>0</v>
      </c>
      <c r="D301" s="93">
        <f t="shared" si="57"/>
        <v>0</v>
      </c>
      <c r="E301" s="95">
        <v>0</v>
      </c>
    </row>
    <row r="302" spans="1:5" x14ac:dyDescent="0.2">
      <c r="A302" s="92" t="s">
        <v>417</v>
      </c>
      <c r="B302" s="93">
        <v>0</v>
      </c>
      <c r="C302" s="93">
        <v>0</v>
      </c>
      <c r="D302" s="130">
        <f t="shared" si="57"/>
        <v>0</v>
      </c>
      <c r="E302" s="131">
        <v>0</v>
      </c>
    </row>
    <row r="303" spans="1:5" ht="25.5" x14ac:dyDescent="0.2">
      <c r="A303" s="96" t="s">
        <v>418</v>
      </c>
      <c r="B303" s="93">
        <v>213000000</v>
      </c>
      <c r="C303" s="94">
        <v>212397650</v>
      </c>
      <c r="D303" s="93">
        <f t="shared" si="57"/>
        <v>-602350</v>
      </c>
      <c r="E303" s="95">
        <f t="shared" ref="E303:E314" si="60">+C303/B303*100</f>
        <v>99.717206572769953</v>
      </c>
    </row>
    <row r="304" spans="1:5" x14ac:dyDescent="0.2">
      <c r="A304" s="96" t="s">
        <v>419</v>
      </c>
      <c r="B304" s="93">
        <v>0</v>
      </c>
      <c r="C304" s="94">
        <v>45022397</v>
      </c>
      <c r="D304" s="93">
        <f t="shared" si="57"/>
        <v>45022397</v>
      </c>
      <c r="E304" s="95">
        <v>0</v>
      </c>
    </row>
    <row r="305" spans="1:5" x14ac:dyDescent="0.2">
      <c r="A305" s="96" t="s">
        <v>420</v>
      </c>
      <c r="B305" s="93">
        <v>13200000</v>
      </c>
      <c r="C305" s="94">
        <v>16260475</v>
      </c>
      <c r="D305" s="93">
        <f t="shared" si="57"/>
        <v>3060475</v>
      </c>
      <c r="E305" s="95">
        <f t="shared" si="60"/>
        <v>123.18541666666667</v>
      </c>
    </row>
    <row r="306" spans="1:5" x14ac:dyDescent="0.2">
      <c r="A306" s="96" t="s">
        <v>421</v>
      </c>
      <c r="B306" s="93">
        <v>0</v>
      </c>
      <c r="C306" s="94">
        <v>0</v>
      </c>
      <c r="D306" s="93">
        <f t="shared" si="57"/>
        <v>0</v>
      </c>
      <c r="E306" s="95">
        <v>0</v>
      </c>
    </row>
    <row r="307" spans="1:5" x14ac:dyDescent="0.2">
      <c r="A307" s="127" t="s">
        <v>422</v>
      </c>
      <c r="B307" s="93">
        <v>600000000</v>
      </c>
      <c r="C307" s="94">
        <v>1237623677</v>
      </c>
      <c r="D307" s="93">
        <f t="shared" si="57"/>
        <v>637623677</v>
      </c>
      <c r="E307" s="95">
        <f t="shared" si="60"/>
        <v>206.27061283333333</v>
      </c>
    </row>
    <row r="308" spans="1:5" ht="25.5" x14ac:dyDescent="0.2">
      <c r="A308" s="132" t="s">
        <v>423</v>
      </c>
      <c r="B308" s="93">
        <v>326126594</v>
      </c>
      <c r="C308" s="94">
        <v>243282008</v>
      </c>
      <c r="D308" s="93">
        <f t="shared" si="57"/>
        <v>-82844586</v>
      </c>
      <c r="E308" s="95">
        <v>0</v>
      </c>
    </row>
    <row r="309" spans="1:5" ht="63.75" x14ac:dyDescent="0.2">
      <c r="A309" s="132" t="s">
        <v>424</v>
      </c>
      <c r="B309" s="93">
        <v>216497000</v>
      </c>
      <c r="C309" s="94">
        <v>144913073</v>
      </c>
      <c r="D309" s="93">
        <f t="shared" si="57"/>
        <v>-71583927</v>
      </c>
      <c r="E309" s="95">
        <f t="shared" si="60"/>
        <v>66.935372314627912</v>
      </c>
    </row>
    <row r="310" spans="1:5" x14ac:dyDescent="0.2">
      <c r="A310" s="132" t="s">
        <v>425</v>
      </c>
      <c r="B310" s="93">
        <v>0</v>
      </c>
      <c r="C310" s="94">
        <v>277067304</v>
      </c>
      <c r="D310" s="93">
        <f t="shared" si="57"/>
        <v>277067304</v>
      </c>
      <c r="E310" s="95">
        <v>100</v>
      </c>
    </row>
    <row r="311" spans="1:5" x14ac:dyDescent="0.2">
      <c r="A311" s="133" t="s">
        <v>426</v>
      </c>
      <c r="B311" s="90">
        <v>0</v>
      </c>
      <c r="C311" s="94">
        <v>0</v>
      </c>
      <c r="D311" s="93">
        <f t="shared" si="57"/>
        <v>0</v>
      </c>
      <c r="E311" s="95">
        <v>0</v>
      </c>
    </row>
    <row r="312" spans="1:5" x14ac:dyDescent="0.2">
      <c r="A312" s="133" t="s">
        <v>427</v>
      </c>
      <c r="B312" s="90">
        <v>0</v>
      </c>
      <c r="C312" s="94">
        <v>0</v>
      </c>
      <c r="D312" s="93">
        <f t="shared" si="57"/>
        <v>0</v>
      </c>
      <c r="E312" s="95">
        <v>0</v>
      </c>
    </row>
    <row r="313" spans="1:5" ht="25.5" x14ac:dyDescent="0.2">
      <c r="A313" s="97" t="s">
        <v>428</v>
      </c>
      <c r="B313" s="90">
        <f>ROUND(+B314,0)</f>
        <v>66000000</v>
      </c>
      <c r="C313" s="90">
        <f t="shared" ref="C313:D313" si="61">ROUND(+C314,0)</f>
        <v>60000000</v>
      </c>
      <c r="D313" s="90">
        <f t="shared" si="61"/>
        <v>-6000000</v>
      </c>
      <c r="E313" s="95">
        <f t="shared" si="60"/>
        <v>90.909090909090907</v>
      </c>
    </row>
    <row r="314" spans="1:5" ht="26.25" thickBot="1" x14ac:dyDescent="0.25">
      <c r="A314" s="124" t="s">
        <v>429</v>
      </c>
      <c r="B314" s="100">
        <v>66000000</v>
      </c>
      <c r="C314" s="110">
        <v>60000000</v>
      </c>
      <c r="D314" s="100">
        <f t="shared" si="57"/>
        <v>-6000000</v>
      </c>
      <c r="E314" s="102">
        <f t="shared" si="60"/>
        <v>90.909090909090907</v>
      </c>
    </row>
    <row r="315" spans="1:5" x14ac:dyDescent="0.2">
      <c r="C315" s="120"/>
    </row>
    <row r="316" spans="1:5" ht="13.5" thickBot="1" x14ac:dyDescent="0.25">
      <c r="A316" s="67"/>
      <c r="C316" s="120"/>
    </row>
    <row r="317" spans="1:5" ht="13.5" thickBot="1" x14ac:dyDescent="0.25">
      <c r="A317" s="69" t="s">
        <v>168</v>
      </c>
      <c r="B317" s="70" t="s">
        <v>169</v>
      </c>
      <c r="C317" s="70" t="s">
        <v>170</v>
      </c>
      <c r="D317" s="71" t="s">
        <v>171</v>
      </c>
      <c r="E317" s="71" t="s">
        <v>172</v>
      </c>
    </row>
    <row r="318" spans="1:5" x14ac:dyDescent="0.2">
      <c r="A318" s="97" t="s">
        <v>430</v>
      </c>
      <c r="B318" s="90">
        <f>+B319+B323</f>
        <v>4500000000</v>
      </c>
      <c r="C318" s="90">
        <f t="shared" ref="C318:D318" si="62">+C319+C323</f>
        <v>6469562765.1499996</v>
      </c>
      <c r="D318" s="90">
        <f t="shared" si="62"/>
        <v>1969562765.1500001</v>
      </c>
      <c r="E318" s="91">
        <f>+C318/B318*100</f>
        <v>143.76806144777777</v>
      </c>
    </row>
    <row r="319" spans="1:5" x14ac:dyDescent="0.2">
      <c r="A319" s="97" t="s">
        <v>431</v>
      </c>
      <c r="B319" s="90">
        <f>SUM(B320:B322)</f>
        <v>4500000000</v>
      </c>
      <c r="C319" s="90">
        <f t="shared" ref="C319:D319" si="63">SUM(C320:C322)</f>
        <v>6469562765.1499996</v>
      </c>
      <c r="D319" s="90">
        <f t="shared" si="63"/>
        <v>1969562765.1500001</v>
      </c>
      <c r="E319" s="91">
        <f>+C319/B319*100</f>
        <v>143.76806144777777</v>
      </c>
    </row>
    <row r="320" spans="1:5" x14ac:dyDescent="0.2">
      <c r="A320" s="96" t="s">
        <v>432</v>
      </c>
      <c r="B320" s="93">
        <v>1000000000</v>
      </c>
      <c r="C320" s="93">
        <v>1803411923</v>
      </c>
      <c r="D320" s="93">
        <f t="shared" ref="D320:D323" si="64">+C320-B320</f>
        <v>803411923</v>
      </c>
      <c r="E320" s="95">
        <f>+C320/B320*100</f>
        <v>180.34119230000002</v>
      </c>
    </row>
    <row r="321" spans="1:5" x14ac:dyDescent="0.2">
      <c r="A321" s="96" t="s">
        <v>433</v>
      </c>
      <c r="B321" s="93">
        <v>1000000000</v>
      </c>
      <c r="C321" s="94">
        <v>2930000000</v>
      </c>
      <c r="D321" s="93">
        <f t="shared" si="64"/>
        <v>1930000000</v>
      </c>
      <c r="E321" s="95">
        <f t="shared" ref="E321:E322" si="65">+C321/B321*100</f>
        <v>293</v>
      </c>
    </row>
    <row r="322" spans="1:5" x14ac:dyDescent="0.2">
      <c r="A322" s="96" t="s">
        <v>434</v>
      </c>
      <c r="B322" s="93">
        <v>2500000000</v>
      </c>
      <c r="C322" s="94">
        <v>1736150842.1500001</v>
      </c>
      <c r="D322" s="93">
        <f t="shared" si="64"/>
        <v>-763849157.8499999</v>
      </c>
      <c r="E322" s="95">
        <f t="shared" si="65"/>
        <v>69.446033686000007</v>
      </c>
    </row>
    <row r="323" spans="1:5" ht="13.5" thickBot="1" x14ac:dyDescent="0.25">
      <c r="A323" s="134" t="s">
        <v>435</v>
      </c>
      <c r="B323" s="135">
        <v>0</v>
      </c>
      <c r="C323" s="136">
        <v>0</v>
      </c>
      <c r="D323" s="136">
        <f t="shared" si="64"/>
        <v>0</v>
      </c>
      <c r="E323" s="137">
        <v>0</v>
      </c>
    </row>
    <row r="324" spans="1:5" x14ac:dyDescent="0.2">
      <c r="C324" s="120"/>
    </row>
    <row r="325" spans="1:5" x14ac:dyDescent="0.2">
      <c r="C325" s="120"/>
    </row>
    <row r="326" spans="1:5" x14ac:dyDescent="0.2">
      <c r="C326" s="120"/>
    </row>
    <row r="327" spans="1:5" x14ac:dyDescent="0.2">
      <c r="C327" s="138"/>
    </row>
    <row r="328" spans="1:5" x14ac:dyDescent="0.2">
      <c r="C328" s="139"/>
    </row>
    <row r="329" spans="1:5" x14ac:dyDescent="0.2">
      <c r="C329" s="139"/>
    </row>
    <row r="330" spans="1:5" x14ac:dyDescent="0.2">
      <c r="C330" s="139"/>
    </row>
    <row r="331" spans="1:5" ht="14.25" x14ac:dyDescent="0.2">
      <c r="C331" s="140"/>
    </row>
    <row r="332" spans="1:5" x14ac:dyDescent="0.2">
      <c r="C332" s="139"/>
    </row>
    <row r="333" spans="1:5" x14ac:dyDescent="0.2">
      <c r="C333" s="139"/>
    </row>
    <row r="334" spans="1:5" x14ac:dyDescent="0.2">
      <c r="C334" s="139"/>
    </row>
    <row r="336" spans="1:5" x14ac:dyDescent="0.2">
      <c r="C336" s="139"/>
    </row>
    <row r="337" spans="3:3" x14ac:dyDescent="0.2">
      <c r="C337" s="141"/>
    </row>
  </sheetData>
  <mergeCells count="4">
    <mergeCell ref="A3:E3"/>
    <mergeCell ref="A4:E4"/>
    <mergeCell ref="A5:E5"/>
    <mergeCell ref="A7:E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topLeftCell="W1" zoomScale="80" zoomScaleNormal="80" workbookViewId="0">
      <selection activeCell="AD1" sqref="AD1"/>
    </sheetView>
  </sheetViews>
  <sheetFormatPr baseColWidth="10" defaultRowHeight="12.75" x14ac:dyDescent="0.2"/>
  <cols>
    <col min="1" max="1" width="21" customWidth="1"/>
    <col min="2" max="2" width="22.42578125" bestFit="1" customWidth="1"/>
    <col min="3" max="3" width="17.42578125" bestFit="1" customWidth="1"/>
    <col min="4" max="7" width="21.28515625" bestFit="1" customWidth="1"/>
    <col min="8" max="8" width="17.42578125" bestFit="1" customWidth="1"/>
    <col min="9" max="9" width="18.140625" bestFit="1" customWidth="1"/>
    <col min="10" max="10" width="17" bestFit="1" customWidth="1"/>
    <col min="11" max="11" width="17.42578125" bestFit="1" customWidth="1"/>
    <col min="12" max="12" width="20" bestFit="1" customWidth="1"/>
    <col min="13" max="13" width="20.28515625" bestFit="1" customWidth="1"/>
    <col min="14" max="14" width="20" bestFit="1" customWidth="1"/>
    <col min="15" max="15" width="19.85546875" bestFit="1" customWidth="1"/>
    <col min="16" max="16" width="18.140625" bestFit="1" customWidth="1"/>
    <col min="17" max="17" width="21.42578125" bestFit="1" customWidth="1"/>
    <col min="18" max="18" width="17.5703125" bestFit="1" customWidth="1"/>
    <col min="19" max="19" width="18.28515625" bestFit="1" customWidth="1"/>
    <col min="20" max="20" width="23.5703125" bestFit="1" customWidth="1"/>
    <col min="21" max="21" width="16.42578125" bestFit="1" customWidth="1"/>
    <col min="22" max="22" width="20.7109375" bestFit="1" customWidth="1"/>
    <col min="23" max="23" width="16.7109375" bestFit="1" customWidth="1"/>
    <col min="24" max="24" width="16.42578125" bestFit="1" customWidth="1"/>
    <col min="25" max="25" width="20.42578125" bestFit="1" customWidth="1"/>
    <col min="26" max="26" width="17.5703125" bestFit="1" customWidth="1"/>
    <col min="27" max="27" width="17.7109375" bestFit="1" customWidth="1"/>
    <col min="28" max="28" width="16.5703125" bestFit="1" customWidth="1"/>
    <col min="29" max="29" width="17.7109375" bestFit="1" customWidth="1"/>
    <col min="30" max="30" width="18.140625" bestFit="1" customWidth="1"/>
    <col min="31" max="31" width="16.28515625" bestFit="1" customWidth="1"/>
    <col min="32" max="32" width="17.42578125" bestFit="1" customWidth="1"/>
    <col min="33" max="33" width="13.7109375" bestFit="1" customWidth="1"/>
    <col min="34" max="34" width="16.5703125" bestFit="1" customWidth="1"/>
    <col min="35" max="35" width="17.28515625" bestFit="1" customWidth="1"/>
    <col min="36" max="36" width="17.7109375" bestFit="1" customWidth="1"/>
    <col min="37" max="37" width="16.28515625" bestFit="1" customWidth="1"/>
    <col min="38" max="38" width="16.85546875" bestFit="1" customWidth="1"/>
    <col min="39" max="39" width="16.42578125" bestFit="1" customWidth="1"/>
    <col min="40" max="40" width="17.5703125" bestFit="1" customWidth="1"/>
    <col min="41" max="41" width="18.140625" bestFit="1" customWidth="1"/>
    <col min="42" max="42" width="21.7109375" bestFit="1" customWidth="1"/>
    <col min="43" max="43" width="17.140625" bestFit="1" customWidth="1"/>
    <col min="44" max="46" width="16.28515625" bestFit="1" customWidth="1"/>
    <col min="47" max="47" width="11.28515625" bestFit="1" customWidth="1"/>
  </cols>
  <sheetData>
    <row r="1" spans="1:47" ht="51" x14ac:dyDescent="0.2">
      <c r="A1" s="8" t="s">
        <v>11</v>
      </c>
      <c r="B1" s="8" t="s">
        <v>65</v>
      </c>
      <c r="C1" s="9" t="s">
        <v>63</v>
      </c>
      <c r="D1" s="9" t="s">
        <v>20</v>
      </c>
      <c r="E1" s="9" t="s">
        <v>21</v>
      </c>
      <c r="F1" s="9" t="s">
        <v>22</v>
      </c>
      <c r="G1" s="9" t="s">
        <v>23</v>
      </c>
      <c r="H1" s="9" t="s">
        <v>24</v>
      </c>
      <c r="I1" s="9" t="s">
        <v>25</v>
      </c>
      <c r="J1" s="9" t="s">
        <v>64</v>
      </c>
      <c r="K1" s="9" t="s">
        <v>26</v>
      </c>
      <c r="L1" s="9" t="s">
        <v>27</v>
      </c>
      <c r="M1" s="9" t="s">
        <v>28</v>
      </c>
      <c r="N1" s="9" t="s">
        <v>29</v>
      </c>
      <c r="O1" s="9" t="s">
        <v>30</v>
      </c>
      <c r="P1" s="9" t="s">
        <v>31</v>
      </c>
      <c r="Q1" s="9" t="s">
        <v>32</v>
      </c>
      <c r="R1" s="9" t="s">
        <v>33</v>
      </c>
      <c r="S1" s="9" t="s">
        <v>34</v>
      </c>
      <c r="T1" s="9" t="s">
        <v>35</v>
      </c>
      <c r="U1" s="9" t="s">
        <v>36</v>
      </c>
      <c r="V1" s="9" t="s">
        <v>37</v>
      </c>
      <c r="W1" s="9" t="s">
        <v>38</v>
      </c>
      <c r="X1" s="9" t="s">
        <v>39</v>
      </c>
      <c r="Y1" s="9" t="s">
        <v>40</v>
      </c>
      <c r="Z1" s="9" t="s">
        <v>41</v>
      </c>
      <c r="AA1" s="9" t="s">
        <v>42</v>
      </c>
      <c r="AB1" s="9" t="s">
        <v>43</v>
      </c>
      <c r="AC1" s="9" t="s">
        <v>44</v>
      </c>
      <c r="AD1" s="9" t="s">
        <v>45</v>
      </c>
      <c r="AE1" s="9" t="s">
        <v>46</v>
      </c>
      <c r="AF1" s="9" t="s">
        <v>47</v>
      </c>
      <c r="AG1" s="9" t="s">
        <v>48</v>
      </c>
      <c r="AH1" s="9" t="s">
        <v>49</v>
      </c>
      <c r="AI1" s="9" t="s">
        <v>50</v>
      </c>
      <c r="AJ1" s="9" t="s">
        <v>51</v>
      </c>
      <c r="AK1" s="9" t="s">
        <v>52</v>
      </c>
      <c r="AL1" s="9" t="s">
        <v>53</v>
      </c>
      <c r="AM1" s="9" t="s">
        <v>54</v>
      </c>
      <c r="AN1" s="9" t="s">
        <v>55</v>
      </c>
      <c r="AO1" s="9" t="s">
        <v>56</v>
      </c>
      <c r="AP1" s="9" t="s">
        <v>57</v>
      </c>
      <c r="AQ1" s="9" t="s">
        <v>58</v>
      </c>
      <c r="AR1" s="9" t="s">
        <v>59</v>
      </c>
      <c r="AS1" s="9" t="s">
        <v>60</v>
      </c>
      <c r="AT1" s="9" t="s">
        <v>61</v>
      </c>
      <c r="AU1" s="9" t="s">
        <v>62</v>
      </c>
    </row>
    <row r="2" spans="1:47" x14ac:dyDescent="0.2">
      <c r="A2" s="1" t="s">
        <v>13</v>
      </c>
      <c r="B2" s="1" t="s">
        <v>66</v>
      </c>
      <c r="C2" s="2">
        <f>[2]!BexGetData("DP_1","00O2TNJGODT0K39D8MCMQEUDG","1000","1100")</f>
        <v>3998294357.4000001</v>
      </c>
      <c r="D2" s="3">
        <f>[2]!BexGetData("DP_1","00O2TNJGODT0K39D8MCMQF0P0","1000","1100")</f>
        <v>982822612.47000003</v>
      </c>
      <c r="E2" s="3">
        <f>[2]!BexGetData("DP_1","00O2TNJGODT0K39D8MCMQF70K","1000","1100")</f>
        <v>1025593972.1</v>
      </c>
      <c r="F2" s="3">
        <f>[2]!BexGetData("DP_1","00O2TNJGODT0K39D8MCMQFDC4","1000","1100")</f>
        <v>986720710.64999998</v>
      </c>
      <c r="G2" s="3">
        <f>[2]!BexGetData("DP_1","00O2TNJGODT0K39D8MCMQFJNO","1000","1100")</f>
        <v>1003157062.1799999</v>
      </c>
      <c r="H2" s="2">
        <f>[2]!BexGetData("DP_1","00O2TNJGODT0K39D8MCMQGLL0","1000","1100")</f>
        <v>4672236014.6599998</v>
      </c>
      <c r="I2" s="2">
        <f>[2]!BexGetData("DP_1","00O2TNJGODT0K39D8MCMQHNIC","1000","1100")</f>
        <v>-4318267731.1300001</v>
      </c>
      <c r="J2" s="2">
        <f>[2]!BexGetData("DP_1","00O2TNJGODT0K3B5ZBNSUNZD9","1000","1100")</f>
        <v>353968283.52999997</v>
      </c>
      <c r="K2" s="2">
        <f>[2]!BexGetData("DP_1","00O2TNJGODT0K39D8MCMQHTTW","1000","1100")</f>
        <v>4352262640.9300003</v>
      </c>
      <c r="L2" s="2">
        <f>[2]!BexGetData("DP_1","00O2TNJGODT0K39D8MCMQI05G","1000","1100")</f>
        <v>802504436.05999994</v>
      </c>
      <c r="M2" s="2">
        <f>[2]!BexGetData("DP_1","00O2TNJGODT0K39D8MCMQI6H0","1000","1100")</f>
        <v>996846392.72000003</v>
      </c>
      <c r="N2" s="2">
        <f>[2]!BexGetData("DP_1","00O2TNJGODT0K39D8MCMQICSK","1000","1100")</f>
        <v>1149825642.52</v>
      </c>
      <c r="O2" s="2">
        <f>[2]!BexGetData("DP_1","00O2TNJGODT0K39D8MCMQIJ44","1000","1100")</f>
        <v>1403086169.6300001</v>
      </c>
      <c r="P2" s="4" t="str">
        <f>[2]!BexGetData("DP_1","00O2TNJGODT0K39D8MCMQIVR8","1000","1100")</f>
        <v/>
      </c>
      <c r="Q2" s="2">
        <f>[2]!BexGetData("DP_1","00O2TNJGODT0K39D8MCMQJ22S","1000","1100")</f>
        <v>4352262640.9300003</v>
      </c>
      <c r="R2" s="2">
        <f>[2]!BexGetData("DP_1","00O2TNJGODT0K39D8MCMQJRD0","1000","1100")</f>
        <v>4345403018.6199999</v>
      </c>
      <c r="S2" s="2">
        <f>[2]!BexGetData("DP_1","00O2TNJGODT0K39D8MCMQLIKK","1000","1100")</f>
        <v>-4345403018.6199999</v>
      </c>
      <c r="T2" s="2">
        <f>[2]!BexGetData("DP_1","00O2TNJGODT0K39D8MCMQLOW4","1000","1100")</f>
        <v>6859622.3099999996</v>
      </c>
      <c r="U2" s="2">
        <f>[2]!BexGetData("DP_1","00O2TNJGODT0K39D8MCMQJXOK","1000","1100")</f>
        <v>4345403018.6199999</v>
      </c>
      <c r="V2" s="2">
        <f>[2]!BexGetData("DP_1","00O2TNJGODT0K39D8MCMQO5DW","1000","1100")</f>
        <v>1033562077.2</v>
      </c>
      <c r="W2" s="2">
        <f>[2]!BexGetData("DP_1","00O2TNJGODT0K39D8MCMQP7B8","1000","1100")</f>
        <v>1020808660.3200001</v>
      </c>
      <c r="X2" s="2">
        <f>[2]!BexGetData("DP_1","00O2TNJGODT0K39D8MCMQQ98K","1000","1100")</f>
        <v>1029671869.67</v>
      </c>
      <c r="Y2" s="2">
        <f>[2]!BexGetData("DP_1","00O2TNJGODT0K39D8MCMQRB5W","1000","1100")</f>
        <v>1261360411.4300001</v>
      </c>
      <c r="Z2" s="5">
        <f>[2]!BexGetData("DP_1","00O2TNJGODT0K39D8MCMQSD38","1000","1100")</f>
        <v>0</v>
      </c>
      <c r="AA2" s="2">
        <f>[2]!BexGetData("DP_1","00O2TNJGODT0K39D8MCMQSJES","1000","1100")</f>
        <v>6859622.3099999996</v>
      </c>
      <c r="AB2" s="2">
        <f>[2]!BexGetData("DP_1","00O2TNJGODT0K39D8MCMQKABO","1000","1100")</f>
        <v>4345403018.6199999</v>
      </c>
      <c r="AC2" s="2">
        <f>[2]!BexGetData("DP_1","00O2TNJGODT0K39D8MCMQOBPG","1000","1100")</f>
        <v>1033562077.2</v>
      </c>
      <c r="AD2" s="2">
        <f>[2]!BexGetData("DP_1","00O2TNJGODT0K39D8MCMQPDMS","1000","1100")</f>
        <v>1020808660.3200001</v>
      </c>
      <c r="AE2" s="2">
        <f>[2]!BexGetData("DP_1","00O2TNJGODT0K39D8MCMQQFK4","1000","1100")</f>
        <v>1029671869.67</v>
      </c>
      <c r="AF2" s="2">
        <f>[2]!BexGetData("DP_1","00O2TNJGODT0K39D8MCMQRHHG","1000","1100")</f>
        <v>1261360411.4300001</v>
      </c>
      <c r="AG2" s="5">
        <f>[2]!BexGetData("DP_1","00O2TNJGODT0K39D8MCMQSPQC","1000","1100")</f>
        <v>0</v>
      </c>
      <c r="AH2" s="2">
        <f>[2]!BexGetData("DP_1","00O2TNE7L9CBERF5UWFY00YGS","1000","1100")</f>
        <v>4345403018.6199999</v>
      </c>
      <c r="AI2" s="2">
        <f>[2]!BexGetData("DP_1","00O2TNJGODT0K39D8MCMQOI10","1000","1100")</f>
        <v>1033562077.2</v>
      </c>
      <c r="AJ2" s="2">
        <f>[2]!BexGetData("DP_1","00O2TNJGODT0K39D8MCMQPJYC","1000","1100")</f>
        <v>1020808660.3200001</v>
      </c>
      <c r="AK2" s="2">
        <f>[2]!BexGetData("DP_1","00O2TNJGODT0K39D8MCMQQLVO","1000","1100")</f>
        <v>1029671869.67</v>
      </c>
      <c r="AL2" s="2">
        <f>[2]!BexGetData("DP_1","00O2TNJGODT0K39D8MCMQRNT0","1000","1100")</f>
        <v>1261360411.4300001</v>
      </c>
      <c r="AM2" s="5">
        <f>[2]!BexGetData("DP_1","00O2TNJGODT0K39D8MCMQSW1W","1000","1100")</f>
        <v>0</v>
      </c>
      <c r="AN2" s="2">
        <f>[2]!BexGetData("DP_1","00O2TNJGODT0K39D8MCMQT8P0","1000","1100")</f>
        <v>6859622.3099999996</v>
      </c>
      <c r="AO2" s="2">
        <f>[2]!BexGetData("DP_1","00O2TNJGODT0K39D8MCMQUGXW","1000","1100")</f>
        <v>4352262640.9300003</v>
      </c>
      <c r="AP2" s="6">
        <f>[2]!BexGetData("DP_1","00O2TNJGODT0K39D8MCMQUN9G","1000","1100")</f>
        <v>1.08681418379754</v>
      </c>
      <c r="AQ2" s="6">
        <f>[2]!BexGetData("DP_1","00O2TNJGODT0K39D8MCMQUZWK","1000","1100")</f>
        <v>1.08681418379754</v>
      </c>
      <c r="AR2" s="2">
        <f>[2]!BexGetData("DP_1","00O2TNJGODT0K39D8MCMQWR44","1000","1100")</f>
        <v>4391051269.4499998</v>
      </c>
      <c r="AS2" s="16">
        <f>[2]!BexGetData("DP_1","00O2TNJGODT0K39D8MCMQXGEC","1000","1100")</f>
        <v>0.98960425464681001</v>
      </c>
      <c r="AT2" s="2">
        <f>[2]!BexGetData("DP_1","00O2TNJGODT0K39D8MCMQXMPW","1000","1100")</f>
        <v>-45648250.829999998</v>
      </c>
      <c r="AU2" s="5">
        <f>[2]!BexGetData("DP_1","00O2TNJGODT0K39D8MCMQXT1G","1000","1100")</f>
        <v>0</v>
      </c>
    </row>
    <row r="3" spans="1:47" x14ac:dyDescent="0.2">
      <c r="A3" s="1" t="s">
        <v>12</v>
      </c>
      <c r="B3" s="1" t="s">
        <v>67</v>
      </c>
      <c r="C3" s="2">
        <f>[2]!BexGetData("DP_1","00O2TNJGODT0K39D8MCMQEUDG","1000","1200")</f>
        <v>257566158.58000001</v>
      </c>
      <c r="D3" s="3">
        <f>[2]!BexGetData("DP_1","00O2TNJGODT0K39D8MCMQF0P0","1000","1200")</f>
        <v>62973308.149999999</v>
      </c>
      <c r="E3" s="3">
        <f>[2]!BexGetData("DP_1","00O2TNJGODT0K39D8MCMQF70K","1000","1200")</f>
        <v>65380004.009999998</v>
      </c>
      <c r="F3" s="3">
        <f>[2]!BexGetData("DP_1","00O2TNJGODT0K39D8MCMQFDC4","1000","1200")</f>
        <v>64090702.670000002</v>
      </c>
      <c r="G3" s="3">
        <f>[2]!BexGetData("DP_1","00O2TNJGODT0K39D8MCMQFJNO","1000","1200")</f>
        <v>65122143.75</v>
      </c>
      <c r="H3" s="2">
        <f>[2]!BexGetData("DP_1","00O2TNJGODT0K39D8MCMQGLL0","1000","1200")</f>
        <v>631029118.36000001</v>
      </c>
      <c r="I3" s="2">
        <f>[2]!BexGetData("DP_1","00O2TNJGODT0K39D8MCMQHNIC","1000","1200")</f>
        <v>-616106803.69000006</v>
      </c>
      <c r="J3" s="2">
        <f>[2]!BexGetData("DP_1","00O2TNJGODT0K3B5ZBNSUNZD9","1000","1200")</f>
        <v>14922314.67</v>
      </c>
      <c r="K3" s="2">
        <f>[2]!BexGetData("DP_1","00O2TNJGODT0K39D8MCMQHTTW","1000","1200")</f>
        <v>272488473.25</v>
      </c>
      <c r="L3" s="2">
        <f>[2]!BexGetData("DP_1","00O2TNJGODT0K39D8MCMQI05G","1000","1200")</f>
        <v>71236228.980000004</v>
      </c>
      <c r="M3" s="2">
        <f>[2]!BexGetData("DP_1","00O2TNJGODT0K39D8MCMQI6H0","1000","1200")</f>
        <v>100394344.91</v>
      </c>
      <c r="N3" s="2">
        <f>[2]!BexGetData("DP_1","00O2TNJGODT0K39D8MCMQICSK","1000","1200")</f>
        <v>65563878.200000003</v>
      </c>
      <c r="O3" s="2">
        <f>[2]!BexGetData("DP_1","00O2TNJGODT0K39D8MCMQIJ44","1000","1200")</f>
        <v>35294021.159999996</v>
      </c>
      <c r="P3" s="4" t="str">
        <f>[2]!BexGetData("DP_1","00O2TNJGODT0K39D8MCMQIVR8","1000","1200")</f>
        <v/>
      </c>
      <c r="Q3" s="2">
        <f>[2]!BexGetData("DP_1","00O2TNJGODT0K39D8MCMQJ22S","1000","1200")</f>
        <v>272488473.25</v>
      </c>
      <c r="R3" s="2">
        <f>[2]!BexGetData("DP_1","00O2TNJGODT0K39D8MCMQJRD0","1000","1200")</f>
        <v>260836726.02000001</v>
      </c>
      <c r="S3" s="2">
        <f>[2]!BexGetData("DP_1","00O2TNJGODT0K39D8MCMQLIKK","1000","1200")</f>
        <v>-260836726.02000001</v>
      </c>
      <c r="T3" s="2">
        <f>[2]!BexGetData("DP_1","00O2TNJGODT0K39D8MCMQLOW4","1000","1200")</f>
        <v>11651747.23</v>
      </c>
      <c r="U3" s="2">
        <f>[2]!BexGetData("DP_1","00O2TNJGODT0K39D8MCMQJXOK","1000","1200")</f>
        <v>259524625.16999999</v>
      </c>
      <c r="V3" s="2">
        <f>[2]!BexGetData("DP_1","00O2TNJGODT0K39D8MCMQO5DW","1000","1200")</f>
        <v>64953959.380000003</v>
      </c>
      <c r="W3" s="2">
        <f>[2]!BexGetData("DP_1","00O2TNJGODT0K39D8MCMQP7B8","1000","1200")</f>
        <v>67048845.090000004</v>
      </c>
      <c r="X3" s="2">
        <f>[2]!BexGetData("DP_1","00O2TNJGODT0K39D8MCMQQ98K","1000","1200")</f>
        <v>59990430.689999998</v>
      </c>
      <c r="Y3" s="2">
        <f>[2]!BexGetData("DP_1","00O2TNJGODT0K39D8MCMQRB5W","1000","1200")</f>
        <v>67531390.010000005</v>
      </c>
      <c r="Z3" s="2">
        <f>[2]!BexGetData("DP_1","00O2TNJGODT0K39D8MCMQSD38","1000","1200")</f>
        <v>1312100.8500000001</v>
      </c>
      <c r="AA3" s="2">
        <f>[2]!BexGetData("DP_1","00O2TNJGODT0K39D8MCMQSJES","1000","1200")</f>
        <v>12963848.08</v>
      </c>
      <c r="AB3" s="2">
        <f>[2]!BexGetData("DP_1","00O2TNJGODT0K39D8MCMQKABO","1000","1200")</f>
        <v>259524625.16999999</v>
      </c>
      <c r="AC3" s="2">
        <f>[2]!BexGetData("DP_1","00O2TNJGODT0K39D8MCMQOBPG","1000","1200")</f>
        <v>64953959.380000003</v>
      </c>
      <c r="AD3" s="2">
        <f>[2]!BexGetData("DP_1","00O2TNJGODT0K39D8MCMQPDMS","1000","1200")</f>
        <v>67048845.090000004</v>
      </c>
      <c r="AE3" s="2">
        <f>[2]!BexGetData("DP_1","00O2TNJGODT0K39D8MCMQQFK4","1000","1200")</f>
        <v>59990430.689999998</v>
      </c>
      <c r="AF3" s="2">
        <f>[2]!BexGetData("DP_1","00O2TNJGODT0K39D8MCMQRHHG","1000","1200")</f>
        <v>67531390.010000005</v>
      </c>
      <c r="AG3" s="5">
        <f>[2]!BexGetData("DP_1","00O2TNJGODT0K39D8MCMQSPQC","1000","1200")</f>
        <v>0</v>
      </c>
      <c r="AH3" s="2">
        <f>[2]!BexGetData("DP_1","00O2TNE7L9CBERF5UWFY00YGS","1000","1200")</f>
        <v>259537077.68000001</v>
      </c>
      <c r="AI3" s="2">
        <f>[2]!BexGetData("DP_1","00O2TNJGODT0K39D8MCMQOI10","1000","1200")</f>
        <v>64953959.380000003</v>
      </c>
      <c r="AJ3" s="2">
        <f>[2]!BexGetData("DP_1","00O2TNJGODT0K39D8MCMQPJYC","1000","1200")</f>
        <v>67061297.600000001</v>
      </c>
      <c r="AK3" s="2">
        <f>[2]!BexGetData("DP_1","00O2TNJGODT0K39D8MCMQQLVO","1000","1200")</f>
        <v>59961118.789999999</v>
      </c>
      <c r="AL3" s="2">
        <f>[2]!BexGetData("DP_1","00O2TNJGODT0K39D8MCMQRNT0","1000","1200")</f>
        <v>67560701.909999996</v>
      </c>
      <c r="AM3" s="2">
        <f>[2]!BexGetData("DP_1","00O2TNJGODT0K39D8MCMQSW1W","1000","1200")</f>
        <v>-12452.51</v>
      </c>
      <c r="AN3" s="2">
        <f>[2]!BexGetData("DP_1","00O2TNJGODT0K39D8MCMQT8P0","1000","1200")</f>
        <v>12963848.08</v>
      </c>
      <c r="AO3" s="2">
        <f>[2]!BexGetData("DP_1","00O2TNJGODT0K39D8MCMQUGXW","1000","1200")</f>
        <v>272488473.25</v>
      </c>
      <c r="AP3" s="6">
        <f>[2]!BexGetData("DP_1","00O2TNJGODT0K39D8MCMQUN9G","1000","1200")</f>
        <v>1.0076037418921699</v>
      </c>
      <c r="AQ3" s="6">
        <f>[2]!BexGetData("DP_1","00O2TNJGODT0K39D8MCMQUZWK","1000","1200")</f>
        <v>1.0076037418921699</v>
      </c>
      <c r="AR3" s="2">
        <f>[2]!BexGetData("DP_1","00O2TNJGODT0K39D8MCMQWR44","1000","1200")</f>
        <v>254805254.33000001</v>
      </c>
      <c r="AS3" s="16">
        <f>[2]!BexGetData("DP_1","00O2TNJGODT0K39D8MCMQXGEC","1000","1200")</f>
        <v>1.0185214816405901</v>
      </c>
      <c r="AT3" s="2">
        <f>[2]!BexGetData("DP_1","00O2TNJGODT0K39D8MCMQXMPW","1000","1200")</f>
        <v>4719370.84</v>
      </c>
      <c r="AU3" s="5">
        <f>[2]!BexGetData("DP_1","00O2TNJGODT0K39D8MCMQXT1G","1000","1200")</f>
        <v>0</v>
      </c>
    </row>
    <row r="4" spans="1:47" x14ac:dyDescent="0.2">
      <c r="A4" s="1" t="s">
        <v>12</v>
      </c>
      <c r="B4" s="1" t="s">
        <v>68</v>
      </c>
      <c r="C4" s="2">
        <f>[2]!BexGetData("DP_1","00O2TNJGODT0K39D8MCMQEUDG","1000","1300")</f>
        <v>1144189155</v>
      </c>
      <c r="D4" s="3">
        <f>[2]!BexGetData("DP_1","00O2TNJGODT0K39D8MCMQF0P0","1000","1300")</f>
        <v>260806977.75999999</v>
      </c>
      <c r="E4" s="3">
        <f>[2]!BexGetData("DP_1","00O2TNJGODT0K39D8MCMQF70K","1000","1300")</f>
        <v>82210655.329999998</v>
      </c>
      <c r="F4" s="3">
        <f>[2]!BexGetData("DP_1","00O2TNJGODT0K39D8MCMQFDC4","1000","1300")</f>
        <v>198933156.11000001</v>
      </c>
      <c r="G4" s="3">
        <f>[2]!BexGetData("DP_1","00O2TNJGODT0K39D8MCMQFJNO","1000","1300")</f>
        <v>602238365.79999995</v>
      </c>
      <c r="H4" s="2">
        <f>[2]!BexGetData("DP_1","00O2TNJGODT0K39D8MCMQGLL0","1000","1300")</f>
        <v>990970684.79999995</v>
      </c>
      <c r="I4" s="2">
        <f>[2]!BexGetData("DP_1","00O2TNJGODT0K39D8MCMQHNIC","1000","1300")</f>
        <v>-1447058284.72</v>
      </c>
      <c r="J4" s="2">
        <f>[2]!BexGetData("DP_1","00O2TNJGODT0K3B5ZBNSUNZD9","1000","1300")</f>
        <v>-456087599.92000002</v>
      </c>
      <c r="K4" s="2">
        <f>[2]!BexGetData("DP_1","00O2TNJGODT0K39D8MCMQHTTW","1000","1300")</f>
        <v>688101555.08000004</v>
      </c>
      <c r="L4" s="2">
        <f>[2]!BexGetData("DP_1","00O2TNJGODT0K39D8MCMQI05G","1000","1300")</f>
        <v>173272324.53999999</v>
      </c>
      <c r="M4" s="2">
        <f>[2]!BexGetData("DP_1","00O2TNJGODT0K39D8MCMQI6H0","1000","1300")</f>
        <v>17741866.030000001</v>
      </c>
      <c r="N4" s="2">
        <f>[2]!BexGetData("DP_1","00O2TNJGODT0K39D8MCMQICSK","1000","1300")</f>
        <v>9848651.4499999993</v>
      </c>
      <c r="O4" s="2">
        <f>[2]!BexGetData("DP_1","00O2TNJGODT0K39D8MCMQIJ44","1000","1300")</f>
        <v>487238713.06</v>
      </c>
      <c r="P4" s="4" t="str">
        <f>[2]!BexGetData("DP_1","00O2TNJGODT0K39D8MCMQIVR8","1000","1300")</f>
        <v/>
      </c>
      <c r="Q4" s="2">
        <f>[2]!BexGetData("DP_1","00O2TNJGODT0K39D8MCMQJ22S","1000","1300")</f>
        <v>688101555.08000004</v>
      </c>
      <c r="R4" s="2">
        <f>[2]!BexGetData("DP_1","00O2TNJGODT0K39D8MCMQJRD0","1000","1300")</f>
        <v>688101555.08000004</v>
      </c>
      <c r="S4" s="2">
        <f>[2]!BexGetData("DP_1","00O2TNJGODT0K39D8MCMQLIKK","1000","1300")</f>
        <v>-688101555.08000004</v>
      </c>
      <c r="T4" s="5">
        <f>[2]!BexGetData("DP_1","00O2TNJGODT0K39D8MCMQLOW4","1000","1300")</f>
        <v>0</v>
      </c>
      <c r="U4" s="2">
        <f>[2]!BexGetData("DP_1","00O2TNJGODT0K39D8MCMQJXOK","1000","1300")</f>
        <v>688101555.08000004</v>
      </c>
      <c r="V4" s="2">
        <f>[2]!BexGetData("DP_1","00O2TNJGODT0K39D8MCMQO5DW","1000","1300")</f>
        <v>208508067.59999999</v>
      </c>
      <c r="W4" s="2">
        <f>[2]!BexGetData("DP_1","00O2TNJGODT0K39D8MCMQP7B8","1000","1300")</f>
        <v>44467867.369999997</v>
      </c>
      <c r="X4" s="2">
        <f>[2]!BexGetData("DP_1","00O2TNJGODT0K39D8MCMQQ98K","1000","1300")</f>
        <v>88396277.939999998</v>
      </c>
      <c r="Y4" s="2">
        <f>[2]!BexGetData("DP_1","00O2TNJGODT0K39D8MCMQRB5W","1000","1300")</f>
        <v>346729342.17000002</v>
      </c>
      <c r="Z4" s="5">
        <f>[2]!BexGetData("DP_1","00O2TNJGODT0K39D8MCMQSD38","1000","1300")</f>
        <v>0</v>
      </c>
      <c r="AA4" s="5">
        <f>[2]!BexGetData("DP_1","00O2TNJGODT0K39D8MCMQSJES","1000","1300")</f>
        <v>0</v>
      </c>
      <c r="AB4" s="2">
        <f>[2]!BexGetData("DP_1","00O2TNJGODT0K39D8MCMQKABO","1000","1300")</f>
        <v>688101555.08000004</v>
      </c>
      <c r="AC4" s="2">
        <f>[2]!BexGetData("DP_1","00O2TNJGODT0K39D8MCMQOBPG","1000","1300")</f>
        <v>208508067.59999999</v>
      </c>
      <c r="AD4" s="2">
        <f>[2]!BexGetData("DP_1","00O2TNJGODT0K39D8MCMQPDMS","1000","1300")</f>
        <v>44467867.369999997</v>
      </c>
      <c r="AE4" s="2">
        <f>[2]!BexGetData("DP_1","00O2TNJGODT0K39D8MCMQQFK4","1000","1300")</f>
        <v>88396277.939999998</v>
      </c>
      <c r="AF4" s="2">
        <f>[2]!BexGetData("DP_1","00O2TNJGODT0K39D8MCMQRHHG","1000","1300")</f>
        <v>346729342.17000002</v>
      </c>
      <c r="AG4" s="5">
        <f>[2]!BexGetData("DP_1","00O2TNJGODT0K39D8MCMQSPQC","1000","1300")</f>
        <v>0</v>
      </c>
      <c r="AH4" s="2">
        <f>[2]!BexGetData("DP_1","00O2TNE7L9CBERF5UWFY00YGS","1000","1300")</f>
        <v>688101555.08000004</v>
      </c>
      <c r="AI4" s="2">
        <f>[2]!BexGetData("DP_1","00O2TNJGODT0K39D8MCMQOI10","1000","1300")</f>
        <v>208508067.59999999</v>
      </c>
      <c r="AJ4" s="2">
        <f>[2]!BexGetData("DP_1","00O2TNJGODT0K39D8MCMQPJYC","1000","1300")</f>
        <v>44467867.369999997</v>
      </c>
      <c r="AK4" s="2">
        <f>[2]!BexGetData("DP_1","00O2TNJGODT0K39D8MCMQQLVO","1000","1300")</f>
        <v>88396277.939999998</v>
      </c>
      <c r="AL4" s="2">
        <f>[2]!BexGetData("DP_1","00O2TNJGODT0K39D8MCMQRNT0","1000","1300")</f>
        <v>346729342.17000002</v>
      </c>
      <c r="AM4" s="5">
        <f>[2]!BexGetData("DP_1","00O2TNJGODT0K39D8MCMQSW1W","1000","1300")</f>
        <v>0</v>
      </c>
      <c r="AN4" s="5">
        <f>[2]!BexGetData("DP_1","00O2TNJGODT0K39D8MCMQT8P0","1000","1300")</f>
        <v>0</v>
      </c>
      <c r="AO4" s="2">
        <f>[2]!BexGetData("DP_1","00O2TNJGODT0K39D8MCMQUGXW","1000","1300")</f>
        <v>688101555.08000004</v>
      </c>
      <c r="AP4" s="6">
        <f>[2]!BexGetData("DP_1","00O2TNJGODT0K39D8MCMQUN9G","1000","1300")</f>
        <v>0.60138793666506996</v>
      </c>
      <c r="AQ4" s="6">
        <f>[2]!BexGetData("DP_1","00O2TNJGODT0K39D8MCMQUZWK","1000","1300")</f>
        <v>0.60138793666506996</v>
      </c>
      <c r="AR4" s="2">
        <f>[2]!BexGetData("DP_1","00O2TNJGODT0K39D8MCMQWR44","1000","1300")</f>
        <v>646094192.67999995</v>
      </c>
      <c r="AS4" s="16">
        <f>[2]!BexGetData("DP_1","00O2TNJGODT0K39D8MCMQXGEC","1000","1300")</f>
        <v>1.0650173966519501</v>
      </c>
      <c r="AT4" s="2">
        <f>[2]!BexGetData("DP_1","00O2TNJGODT0K39D8MCMQXMPW","1000","1300")</f>
        <v>42007362.399999999</v>
      </c>
      <c r="AU4" s="5">
        <f>[2]!BexGetData("DP_1","00O2TNJGODT0K39D8MCMQXT1G","1000","1300")</f>
        <v>0</v>
      </c>
    </row>
    <row r="5" spans="1:47" x14ac:dyDescent="0.2">
      <c r="A5" s="1" t="s">
        <v>12</v>
      </c>
      <c r="B5" s="1" t="s">
        <v>69</v>
      </c>
      <c r="C5" s="2">
        <f>[2]!BexGetData("DP_1","00O2TNJGODT0K39D8MCMQEUDG","1000","1400")</f>
        <v>1741773271.46</v>
      </c>
      <c r="D5" s="3">
        <f>[2]!BexGetData("DP_1","00O2TNJGODT0K39D8MCMQF0P0","1000","1400")</f>
        <v>617816234.24000001</v>
      </c>
      <c r="E5" s="3">
        <f>[2]!BexGetData("DP_1","00O2TNJGODT0K39D8MCMQF70K","1000","1400")</f>
        <v>388908512.42000002</v>
      </c>
      <c r="F5" s="3">
        <f>[2]!BexGetData("DP_1","00O2TNJGODT0K39D8MCMQFDC4","1000","1400")</f>
        <v>373716770.94</v>
      </c>
      <c r="G5" s="3">
        <f>[2]!BexGetData("DP_1","00O2TNJGODT0K39D8MCMQFJNO","1000","1400")</f>
        <v>361331753.86000001</v>
      </c>
      <c r="H5" s="2">
        <f>[2]!BexGetData("DP_1","00O2TNJGODT0K39D8MCMQGLL0","1000","1400")</f>
        <v>1735202446.51</v>
      </c>
      <c r="I5" s="2">
        <f>[2]!BexGetData("DP_1","00O2TNJGODT0K39D8MCMQHNIC","1000","1400")</f>
        <v>-1655795729.8800001</v>
      </c>
      <c r="J5" s="2">
        <f>[2]!BexGetData("DP_1","00O2TNJGODT0K3B5ZBNSUNZD9","1000","1400")</f>
        <v>79406716.629999995</v>
      </c>
      <c r="K5" s="2">
        <f>[2]!BexGetData("DP_1","00O2TNJGODT0K39D8MCMQHTTW","1000","1400")</f>
        <v>1821179988.0899999</v>
      </c>
      <c r="L5" s="2">
        <f>[2]!BexGetData("DP_1","00O2TNJGODT0K39D8MCMQI05G","1000","1400")</f>
        <v>617919659.39999998</v>
      </c>
      <c r="M5" s="2">
        <f>[2]!BexGetData("DP_1","00O2TNJGODT0K39D8MCMQI6H0","1000","1400")</f>
        <v>408348353.95999998</v>
      </c>
      <c r="N5" s="2">
        <f>[2]!BexGetData("DP_1","00O2TNJGODT0K39D8MCMQICSK","1000","1400")</f>
        <v>385775575.62</v>
      </c>
      <c r="O5" s="2">
        <f>[2]!BexGetData("DP_1","00O2TNJGODT0K39D8MCMQIJ44","1000","1400")</f>
        <v>409136399.11000001</v>
      </c>
      <c r="P5" s="4" t="str">
        <f>[2]!BexGetData("DP_1","00O2TNJGODT0K39D8MCMQIVR8","1000","1400")</f>
        <v/>
      </c>
      <c r="Q5" s="2">
        <f>[2]!BexGetData("DP_1","00O2TNJGODT0K39D8MCMQJ22S","1000","1400")</f>
        <v>1821179988.0899999</v>
      </c>
      <c r="R5" s="2">
        <f>[2]!BexGetData("DP_1","00O2TNJGODT0K39D8MCMQJRD0","1000","1400")</f>
        <v>1773278243.2</v>
      </c>
      <c r="S5" s="2">
        <f>[2]!BexGetData("DP_1","00O2TNJGODT0K39D8MCMQLIKK","1000","1400")</f>
        <v>-1773278243.2</v>
      </c>
      <c r="T5" s="2">
        <f>[2]!BexGetData("DP_1","00O2TNJGODT0K39D8MCMQLOW4","1000","1400")</f>
        <v>47901744.890000001</v>
      </c>
      <c r="U5" s="2">
        <f>[2]!BexGetData("DP_1","00O2TNJGODT0K39D8MCMQJXOK","1000","1400")</f>
        <v>1773278243.2</v>
      </c>
      <c r="V5" s="2">
        <f>[2]!BexGetData("DP_1","00O2TNJGODT0K39D8MCMQO5DW","1000","1400")</f>
        <v>508984997.97000003</v>
      </c>
      <c r="W5" s="2">
        <f>[2]!BexGetData("DP_1","00O2TNJGODT0K39D8MCMQP7B8","1000","1400")</f>
        <v>451152393.56</v>
      </c>
      <c r="X5" s="2">
        <f>[2]!BexGetData("DP_1","00O2TNJGODT0K39D8MCMQQ98K","1000","1400")</f>
        <v>437327123.30000001</v>
      </c>
      <c r="Y5" s="2">
        <f>[2]!BexGetData("DP_1","00O2TNJGODT0K39D8MCMQRB5W","1000","1400")</f>
        <v>375813728.37</v>
      </c>
      <c r="Z5" s="5">
        <f>[2]!BexGetData("DP_1","00O2TNJGODT0K39D8MCMQSD38","1000","1400")</f>
        <v>0</v>
      </c>
      <c r="AA5" s="2">
        <f>[2]!BexGetData("DP_1","00O2TNJGODT0K39D8MCMQSJES","1000","1400")</f>
        <v>47901744.890000001</v>
      </c>
      <c r="AB5" s="2">
        <f>[2]!BexGetData("DP_1","00O2TNJGODT0K39D8MCMQKABO","1000","1400")</f>
        <v>1773278243.2</v>
      </c>
      <c r="AC5" s="2">
        <f>[2]!BexGetData("DP_1","00O2TNJGODT0K39D8MCMQOBPG","1000","1400")</f>
        <v>508984997.97000003</v>
      </c>
      <c r="AD5" s="2">
        <f>[2]!BexGetData("DP_1","00O2TNJGODT0K39D8MCMQPDMS","1000","1400")</f>
        <v>451152393.56</v>
      </c>
      <c r="AE5" s="2">
        <f>[2]!BexGetData("DP_1","00O2TNJGODT0K39D8MCMQQFK4","1000","1400")</f>
        <v>437327123.30000001</v>
      </c>
      <c r="AF5" s="2">
        <f>[2]!BexGetData("DP_1","00O2TNJGODT0K39D8MCMQRHHG","1000","1400")</f>
        <v>375813728.37</v>
      </c>
      <c r="AG5" s="5">
        <f>[2]!BexGetData("DP_1","00O2TNJGODT0K39D8MCMQSPQC","1000","1400")</f>
        <v>0</v>
      </c>
      <c r="AH5" s="2">
        <f>[2]!BexGetData("DP_1","00O2TNE7L9CBERF5UWFY00YGS","1000","1400")</f>
        <v>1686066710.0899999</v>
      </c>
      <c r="AI5" s="2">
        <f>[2]!BexGetData("DP_1","00O2TNJGODT0K39D8MCMQOI10","1000","1400")</f>
        <v>271801066.24000001</v>
      </c>
      <c r="AJ5" s="2">
        <f>[2]!BexGetData("DP_1","00O2TNJGODT0K39D8MCMQPJYC","1000","1400")</f>
        <v>511577801.70999998</v>
      </c>
      <c r="AK5" s="2">
        <f>[2]!BexGetData("DP_1","00O2TNJGODT0K39D8MCMQQLVO","1000","1400")</f>
        <v>402274581.68000001</v>
      </c>
      <c r="AL5" s="2">
        <f>[2]!BexGetData("DP_1","00O2TNJGODT0K39D8MCMQRNT0","1000","1400")</f>
        <v>500413260.45999998</v>
      </c>
      <c r="AM5" s="2">
        <f>[2]!BexGetData("DP_1","00O2TNJGODT0K39D8MCMQSW1W","1000","1400")</f>
        <v>87211533.109999999</v>
      </c>
      <c r="AN5" s="2">
        <f>[2]!BexGetData("DP_1","00O2TNJGODT0K39D8MCMQT8P0","1000","1400")</f>
        <v>47901744.890000001</v>
      </c>
      <c r="AO5" s="2">
        <f>[2]!BexGetData("DP_1","00O2TNJGODT0K39D8MCMQUGXW","1000","1400")</f>
        <v>1821179988.0899999</v>
      </c>
      <c r="AP5" s="6">
        <f>[2]!BexGetData("DP_1","00O2TNJGODT0K39D8MCMQUN9G","1000","1400")</f>
        <v>1.0180878718580799</v>
      </c>
      <c r="AQ5" s="6">
        <f>[2]!BexGetData("DP_1","00O2TNJGODT0K39D8MCMQUZWK","1000","1400")</f>
        <v>1.0180878718580799</v>
      </c>
      <c r="AR5" s="2">
        <f>[2]!BexGetData("DP_1","00O2TNJGODT0K39D8MCMQWR44","1000","1400")</f>
        <v>1666402658.7</v>
      </c>
      <c r="AS5" s="16">
        <f>[2]!BexGetData("DP_1","00O2TNJGODT0K39D8MCMQXGEC","1000","1400")</f>
        <v>1.0641355100713601</v>
      </c>
      <c r="AT5" s="2">
        <f>[2]!BexGetData("DP_1","00O2TNJGODT0K39D8MCMQXMPW","1000","1400")</f>
        <v>106875584.5</v>
      </c>
      <c r="AU5" s="5">
        <f>[2]!BexGetData("DP_1","00O2TNJGODT0K39D8MCMQXT1G","1000","1400")</f>
        <v>0</v>
      </c>
    </row>
    <row r="6" spans="1:47" x14ac:dyDescent="0.2">
      <c r="A6" s="1" t="s">
        <v>12</v>
      </c>
      <c r="B6" s="1" t="s">
        <v>70</v>
      </c>
      <c r="C6" s="2">
        <f>[2]!BexGetData("DP_1","00O2TNJGODT0K39D8MCMQEUDG","1000","1500")</f>
        <v>1026203000.48</v>
      </c>
      <c r="D6" s="3">
        <f>[2]!BexGetData("DP_1","00O2TNJGODT0K39D8MCMQF0P0","1000","1500")</f>
        <v>218081883.24000001</v>
      </c>
      <c r="E6" s="3">
        <f>[2]!BexGetData("DP_1","00O2TNJGODT0K39D8MCMQF70K","1000","1500")</f>
        <v>282610052.18000001</v>
      </c>
      <c r="F6" s="3">
        <f>[2]!BexGetData("DP_1","00O2TNJGODT0K39D8MCMQFDC4","1000","1500")</f>
        <v>268552286.66000003</v>
      </c>
      <c r="G6" s="3">
        <f>[2]!BexGetData("DP_1","00O2TNJGODT0K39D8MCMQFJNO","1000","1500")</f>
        <v>256958778.40000001</v>
      </c>
      <c r="H6" s="2">
        <f>[2]!BexGetData("DP_1","00O2TNJGODT0K39D8MCMQGLL0","1000","1500")</f>
        <v>1260968223.9400001</v>
      </c>
      <c r="I6" s="2">
        <f>[2]!BexGetData("DP_1","00O2TNJGODT0K39D8MCMQHNIC","1000","1500")</f>
        <v>-879240613.11000001</v>
      </c>
      <c r="J6" s="2">
        <f>[2]!BexGetData("DP_1","00O2TNJGODT0K3B5ZBNSUNZD9","1000","1500")</f>
        <v>381727610.82999998</v>
      </c>
      <c r="K6" s="2">
        <f>[2]!BexGetData("DP_1","00O2TNJGODT0K39D8MCMQHTTW","1000","1500")</f>
        <v>1407930611.3099999</v>
      </c>
      <c r="L6" s="2">
        <f>[2]!BexGetData("DP_1","00O2TNJGODT0K39D8MCMQI05G","1000","1500")</f>
        <v>293899212.19</v>
      </c>
      <c r="M6" s="2">
        <f>[2]!BexGetData("DP_1","00O2TNJGODT0K39D8MCMQI6H0","1000","1500")</f>
        <v>421471757.11000001</v>
      </c>
      <c r="N6" s="2">
        <f>[2]!BexGetData("DP_1","00O2TNJGODT0K39D8MCMQICSK","1000","1500")</f>
        <v>377164928.31999999</v>
      </c>
      <c r="O6" s="2">
        <f>[2]!BexGetData("DP_1","00O2TNJGODT0K39D8MCMQIJ44","1000","1500")</f>
        <v>315394713.69</v>
      </c>
      <c r="P6" s="4" t="str">
        <f>[2]!BexGetData("DP_1","00O2TNJGODT0K39D8MCMQIVR8","1000","1500")</f>
        <v/>
      </c>
      <c r="Q6" s="2">
        <f>[2]!BexGetData("DP_1","00O2TNJGODT0K39D8MCMQJ22S","1000","1500")</f>
        <v>1407930611.3099999</v>
      </c>
      <c r="R6" s="2">
        <f>[2]!BexGetData("DP_1","00O2TNJGODT0K39D8MCMQJRD0","1000","1500")</f>
        <v>1407927117.5599999</v>
      </c>
      <c r="S6" s="2">
        <f>[2]!BexGetData("DP_1","00O2TNJGODT0K39D8MCMQLIKK","1000","1500")</f>
        <v>-1407927117.5599999</v>
      </c>
      <c r="T6" s="2">
        <f>[2]!BexGetData("DP_1","00O2TNJGODT0K39D8MCMQLOW4","1000","1500")</f>
        <v>3493.75</v>
      </c>
      <c r="U6" s="2">
        <f>[2]!BexGetData("DP_1","00O2TNJGODT0K39D8MCMQJXOK","1000","1500")</f>
        <v>1407927117.5599999</v>
      </c>
      <c r="V6" s="2">
        <f>[2]!BexGetData("DP_1","00O2TNJGODT0K39D8MCMQO5DW","1000","1500")</f>
        <v>298322948.95999998</v>
      </c>
      <c r="W6" s="2">
        <f>[2]!BexGetData("DP_1","00O2TNJGODT0K39D8MCMQP7B8","1000","1500")</f>
        <v>404373733.56999999</v>
      </c>
      <c r="X6" s="2">
        <f>[2]!BexGetData("DP_1","00O2TNJGODT0K39D8MCMQQ98K","1000","1500")</f>
        <v>354827135.41000003</v>
      </c>
      <c r="Y6" s="2">
        <f>[2]!BexGetData("DP_1","00O2TNJGODT0K39D8MCMQRB5W","1000","1500")</f>
        <v>350403299.62</v>
      </c>
      <c r="Z6" s="5">
        <f>[2]!BexGetData("DP_1","00O2TNJGODT0K39D8MCMQSD38","1000","1500")</f>
        <v>0</v>
      </c>
      <c r="AA6" s="2">
        <f>[2]!BexGetData("DP_1","00O2TNJGODT0K39D8MCMQSJES","1000","1500")</f>
        <v>3493.75</v>
      </c>
      <c r="AB6" s="2">
        <f>[2]!BexGetData("DP_1","00O2TNJGODT0K39D8MCMQKABO","1000","1500")</f>
        <v>1407927117.5599999</v>
      </c>
      <c r="AC6" s="2">
        <f>[2]!BexGetData("DP_1","00O2TNJGODT0K39D8MCMQOBPG","1000","1500")</f>
        <v>298322948.95999998</v>
      </c>
      <c r="AD6" s="2">
        <f>[2]!BexGetData("DP_1","00O2TNJGODT0K39D8MCMQPDMS","1000","1500")</f>
        <v>404373733.56999999</v>
      </c>
      <c r="AE6" s="2">
        <f>[2]!BexGetData("DP_1","00O2TNJGODT0K39D8MCMQQFK4","1000","1500")</f>
        <v>354827135.41000003</v>
      </c>
      <c r="AF6" s="2">
        <f>[2]!BexGetData("DP_1","00O2TNJGODT0K39D8MCMQRHHG","1000","1500")</f>
        <v>350403299.62</v>
      </c>
      <c r="AG6" s="5">
        <f>[2]!BexGetData("DP_1","00O2TNJGODT0K39D8MCMQSPQC","1000","1500")</f>
        <v>0</v>
      </c>
      <c r="AH6" s="2">
        <f>[2]!BexGetData("DP_1","00O2TNE7L9CBERF5UWFY00YGS","1000","1500")</f>
        <v>1405156562.52</v>
      </c>
      <c r="AI6" s="2">
        <f>[2]!BexGetData("DP_1","00O2TNJGODT0K39D8MCMQOI10","1000","1500")</f>
        <v>298004987.73000002</v>
      </c>
      <c r="AJ6" s="2">
        <f>[2]!BexGetData("DP_1","00O2TNJGODT0K39D8MCMQPJYC","1000","1500")</f>
        <v>404571798.72000003</v>
      </c>
      <c r="AK6" s="2">
        <f>[2]!BexGetData("DP_1","00O2TNJGODT0K39D8MCMQQLVO","1000","1500")</f>
        <v>354608125.25999999</v>
      </c>
      <c r="AL6" s="2">
        <f>[2]!BexGetData("DP_1","00O2TNJGODT0K39D8MCMQRNT0","1000","1500")</f>
        <v>347971650.81</v>
      </c>
      <c r="AM6" s="2">
        <f>[2]!BexGetData("DP_1","00O2TNJGODT0K39D8MCMQSW1W","1000","1500")</f>
        <v>2770555.04</v>
      </c>
      <c r="AN6" s="2">
        <f>[2]!BexGetData("DP_1","00O2TNJGODT0K39D8MCMQT8P0","1000","1500")</f>
        <v>3493.75</v>
      </c>
      <c r="AO6" s="2">
        <f>[2]!BexGetData("DP_1","00O2TNJGODT0K39D8MCMQUGXW","1000","1500")</f>
        <v>1407930611.3099999</v>
      </c>
      <c r="AP6" s="6">
        <f>[2]!BexGetData("DP_1","00O2TNJGODT0K39D8MCMQUN9G","1000","1500")</f>
        <v>1.3719771983725</v>
      </c>
      <c r="AQ6" s="6">
        <f>[2]!BexGetData("DP_1","00O2TNJGODT0K39D8MCMQUZWK","1000","1500")</f>
        <v>1.3719771983725</v>
      </c>
      <c r="AR6" s="2">
        <f>[2]!BexGetData("DP_1","00O2TNJGODT0K39D8MCMQWR44","1000","1500")</f>
        <v>1097562880.73</v>
      </c>
      <c r="AS6" s="16">
        <f>[2]!BexGetData("DP_1","00O2TNJGODT0K39D8MCMQXGEC","1000","1500")</f>
        <v>1.2827758138317999</v>
      </c>
      <c r="AT6" s="2">
        <f>[2]!BexGetData("DP_1","00O2TNJGODT0K39D8MCMQXMPW","1000","1500")</f>
        <v>310364236.82999998</v>
      </c>
      <c r="AU6" s="5">
        <f>[2]!BexGetData("DP_1","00O2TNJGODT0K39D8MCMQXT1G","1000","1500")</f>
        <v>0</v>
      </c>
    </row>
    <row r="7" spans="1:47" x14ac:dyDescent="0.2">
      <c r="A7" s="1" t="s">
        <v>12</v>
      </c>
      <c r="B7" s="1" t="s">
        <v>104</v>
      </c>
      <c r="C7" s="2">
        <f>[2]!BexGetData("DP_1","00O2TNJGODT0K39D8MCMQEUDG","1000","1600")</f>
        <v>314813100</v>
      </c>
      <c r="D7" s="3">
        <f>[2]!BexGetData("DP_1","00O2TNJGODT0K39D8MCMQF0P0","1000","1600")</f>
        <v>78703275</v>
      </c>
      <c r="E7" s="3">
        <f>[2]!BexGetData("DP_1","00O2TNJGODT0K39D8MCMQF70K","1000","1600")</f>
        <v>78703275</v>
      </c>
      <c r="F7" s="3">
        <f>[2]!BexGetData("DP_1","00O2TNJGODT0K39D8MCMQFDC4","1000","1600")</f>
        <v>78703275</v>
      </c>
      <c r="G7" s="3">
        <f>[2]!BexGetData("DP_1","00O2TNJGODT0K39D8MCMQFJNO","1000","1600")</f>
        <v>78703275</v>
      </c>
      <c r="H7" s="2">
        <f>[2]!BexGetData("DP_1","00O2TNJGODT0K39D8MCMQGLL0","1000","1600")</f>
        <v>217152353.34999999</v>
      </c>
      <c r="I7" s="2">
        <f>[2]!BexGetData("DP_1","00O2TNJGODT0K39D8MCMQHNIC","1000","1600")</f>
        <v>-531965453.35000002</v>
      </c>
      <c r="J7" s="2">
        <f>[2]!BexGetData("DP_1","00O2TNJGODT0K3B5ZBNSUNZD9","1000","1600")</f>
        <v>-314813100</v>
      </c>
      <c r="K7" s="5">
        <f>[2]!BexGetData("DP_1","00O2TNJGODT0K39D8MCMQHTTW","1000","1600")</f>
        <v>0</v>
      </c>
      <c r="L7" s="2">
        <f>[2]!BexGetData("DP_1","00O2TNJGODT0K39D8MCMQI05G","1000","1600")</f>
        <v>35007655.740000002</v>
      </c>
      <c r="M7" s="2">
        <f>[2]!BexGetData("DP_1","00O2TNJGODT0K39D8MCMQI6H0","1000","1600")</f>
        <v>41641177.200000003</v>
      </c>
      <c r="N7" s="2">
        <f>[2]!BexGetData("DP_1","00O2TNJGODT0K39D8MCMQICSK","1000","1600")</f>
        <v>16198821.52</v>
      </c>
      <c r="O7" s="2">
        <f>[2]!BexGetData("DP_1","00O2TNJGODT0K39D8MCMQIJ44","1000","1600")</f>
        <v>-92847654.459999993</v>
      </c>
      <c r="P7" s="4" t="str">
        <f>[2]!BexGetData("DP_1","00O2TNJGODT0K39D8MCMQIVR8","1000","1600")</f>
        <v/>
      </c>
      <c r="Q7" s="5">
        <f>[2]!BexGetData("DP_1","00O2TNJGODT0K39D8MCMQJ22S","1000","1600")</f>
        <v>0</v>
      </c>
      <c r="R7" s="4" t="str">
        <f>[2]!BexGetData("DP_1","00O2TNJGODT0K39D8MCMQJRD0","1000","1600")</f>
        <v/>
      </c>
      <c r="S7" s="4" t="str">
        <f>[2]!BexGetData("DP_1","00O2TNJGODT0K39D8MCMQLIKK","1000","1600")</f>
        <v/>
      </c>
      <c r="T7" s="5">
        <f>[2]!BexGetData("DP_1","00O2TNJGODT0K39D8MCMQLOW4","1000","1600")</f>
        <v>0</v>
      </c>
      <c r="U7" s="4" t="str">
        <f>[2]!BexGetData("DP_1","00O2TNJGODT0K39D8MCMQJXOK","1000","1600")</f>
        <v/>
      </c>
      <c r="V7" s="5">
        <f>[2]!BexGetData("DP_1","00O2TNJGODT0K39D8MCMQO5DW","1000","1600")</f>
        <v>0</v>
      </c>
      <c r="W7" s="5">
        <f>[2]!BexGetData("DP_1","00O2TNJGODT0K39D8MCMQP7B8","1000","1600")</f>
        <v>0</v>
      </c>
      <c r="X7" s="5">
        <f>[2]!BexGetData("DP_1","00O2TNJGODT0K39D8MCMQQ98K","1000","1600")</f>
        <v>0</v>
      </c>
      <c r="Y7" s="5">
        <f>[2]!BexGetData("DP_1","00O2TNJGODT0K39D8MCMQRB5W","1000","1600")</f>
        <v>0</v>
      </c>
      <c r="Z7" s="5">
        <f>[2]!BexGetData("DP_1","00O2TNJGODT0K39D8MCMQSD38","1000","1600")</f>
        <v>0</v>
      </c>
      <c r="AA7" s="5">
        <f>[2]!BexGetData("DP_1","00O2TNJGODT0K39D8MCMQSJES","1000","1600")</f>
        <v>0</v>
      </c>
      <c r="AB7" s="4" t="str">
        <f>[2]!BexGetData("DP_1","00O2TNJGODT0K39D8MCMQKABO","1000","1600")</f>
        <v/>
      </c>
      <c r="AC7" s="5">
        <f>[2]!BexGetData("DP_1","00O2TNJGODT0K39D8MCMQOBPG","1000","1600")</f>
        <v>0</v>
      </c>
      <c r="AD7" s="5">
        <f>[2]!BexGetData("DP_1","00O2TNJGODT0K39D8MCMQPDMS","1000","1600")</f>
        <v>0</v>
      </c>
      <c r="AE7" s="5">
        <f>[2]!BexGetData("DP_1","00O2TNJGODT0K39D8MCMQQFK4","1000","1600")</f>
        <v>0</v>
      </c>
      <c r="AF7" s="5">
        <f>[2]!BexGetData("DP_1","00O2TNJGODT0K39D8MCMQRHHG","1000","1600")</f>
        <v>0</v>
      </c>
      <c r="AG7" s="4" t="str">
        <f>[2]!BexGetData("DP_1","00O2TNJGODT0K39D8MCMQSPQC","1000","1600")</f>
        <v/>
      </c>
      <c r="AH7" s="4" t="str">
        <f>[2]!BexGetData("DP_1","00O2TNE7L9CBERF5UWFY00YGS","1000","1600")</f>
        <v/>
      </c>
      <c r="AI7" s="5">
        <f>[2]!BexGetData("DP_1","00O2TNJGODT0K39D8MCMQOI10","1000","1600")</f>
        <v>0</v>
      </c>
      <c r="AJ7" s="5">
        <f>[2]!BexGetData("DP_1","00O2TNJGODT0K39D8MCMQPJYC","1000","1600")</f>
        <v>0</v>
      </c>
      <c r="AK7" s="5">
        <f>[2]!BexGetData("DP_1","00O2TNJGODT0K39D8MCMQQLVO","1000","1600")</f>
        <v>0</v>
      </c>
      <c r="AL7" s="5">
        <f>[2]!BexGetData("DP_1","00O2TNJGODT0K39D8MCMQRNT0","1000","1600")</f>
        <v>0</v>
      </c>
      <c r="AM7" s="4" t="str">
        <f>[2]!BexGetData("DP_1","00O2TNJGODT0K39D8MCMQSW1W","1000","1600")</f>
        <v/>
      </c>
      <c r="AN7" s="5">
        <f>[2]!BexGetData("DP_1","00O2TNJGODT0K39D8MCMQT8P0","1000","1600")</f>
        <v>0</v>
      </c>
      <c r="AO7" s="5">
        <f>[2]!BexGetData("DP_1","00O2TNJGODT0K39D8MCMQUGXW","1000","1600")</f>
        <v>0</v>
      </c>
      <c r="AP7" s="4" t="str">
        <f>[2]!BexGetData("DP_1","00O2TNJGODT0K39D8MCMQUN9G","1000","1600")</f>
        <v/>
      </c>
      <c r="AQ7" s="4" t="str">
        <f>[2]!BexGetData("DP_1","00O2TNJGODT0K39D8MCMQUZWK","1000","1600")</f>
        <v/>
      </c>
      <c r="AR7" s="4" t="str">
        <f>[2]!BexGetData("DP_1","00O2TNJGODT0K39D8MCMQWR44","1000","1600")</f>
        <v/>
      </c>
      <c r="AS7" s="4" t="str">
        <f>[2]!BexGetData("DP_1","00O2TNJGODT0K39D8MCMQXGEC","1000","1600")</f>
        <v/>
      </c>
      <c r="AT7" s="4" t="str">
        <f>[2]!BexGetData("DP_1","00O2TNJGODT0K39D8MCMQXMPW","1000","1600")</f>
        <v/>
      </c>
      <c r="AU7" s="5">
        <f>[2]!BexGetData("DP_1","00O2TNJGODT0K39D8MCMQXT1G","1000","1600")</f>
        <v>0</v>
      </c>
    </row>
    <row r="8" spans="1:47" x14ac:dyDescent="0.2">
      <c r="A8" s="1" t="s">
        <v>12</v>
      </c>
      <c r="B8" s="1" t="s">
        <v>92</v>
      </c>
      <c r="C8" s="2">
        <f>[2]!BexGetData("DP_1","00O2TNJGODT0K39D8MCMQEUDG","1000","1700")</f>
        <v>151937952.08000001</v>
      </c>
      <c r="D8" s="3">
        <f>[2]!BexGetData("DP_1","00O2TNJGODT0K39D8MCMQF0P0","1000","1700")</f>
        <v>34138911.740000002</v>
      </c>
      <c r="E8" s="3">
        <f>[2]!BexGetData("DP_1","00O2TNJGODT0K39D8MCMQF70K","1000","1700")</f>
        <v>44387978.409999996</v>
      </c>
      <c r="F8" s="3">
        <f>[2]!BexGetData("DP_1","00O2TNJGODT0K39D8MCMQFDC4","1000","1700")</f>
        <v>39164060.950000003</v>
      </c>
      <c r="G8" s="3">
        <f>[2]!BexGetData("DP_1","00O2TNJGODT0K39D8MCMQFJNO","1000","1700")</f>
        <v>34247000.979999997</v>
      </c>
      <c r="H8" s="2">
        <f>[2]!BexGetData("DP_1","00O2TNJGODT0K39D8MCMQGLL0","1000","1700")</f>
        <v>166509998.37</v>
      </c>
      <c r="I8" s="2">
        <f>[2]!BexGetData("DP_1","00O2TNJGODT0K39D8MCMQHNIC","1000","1700")</f>
        <v>-248670096.53</v>
      </c>
      <c r="J8" s="2">
        <f>[2]!BexGetData("DP_1","00O2TNJGODT0K3B5ZBNSUNZD9","1000","1700")</f>
        <v>-82160098.159999996</v>
      </c>
      <c r="K8" s="2">
        <f>[2]!BexGetData("DP_1","00O2TNJGODT0K39D8MCMQHTTW","1000","1700")</f>
        <v>69777853.920000002</v>
      </c>
      <c r="L8" s="2">
        <f>[2]!BexGetData("DP_1","00O2TNJGODT0K39D8MCMQI05G","1000","1700")</f>
        <v>14809457.26</v>
      </c>
      <c r="M8" s="2">
        <f>[2]!BexGetData("DP_1","00O2TNJGODT0K39D8MCMQI6H0","1000","1700")</f>
        <v>17777493.010000002</v>
      </c>
      <c r="N8" s="2">
        <f>[2]!BexGetData("DP_1","00O2TNJGODT0K39D8MCMQICSK","1000","1700")</f>
        <v>11698439.65</v>
      </c>
      <c r="O8" s="2">
        <f>[2]!BexGetData("DP_1","00O2TNJGODT0K39D8MCMQIJ44","1000","1700")</f>
        <v>25492464</v>
      </c>
      <c r="P8" s="4" t="str">
        <f>[2]!BexGetData("DP_1","00O2TNJGODT0K39D8MCMQIVR8","1000","1700")</f>
        <v/>
      </c>
      <c r="Q8" s="2">
        <f>[2]!BexGetData("DP_1","00O2TNJGODT0K39D8MCMQJ22S","1000","1700")</f>
        <v>69777853.920000002</v>
      </c>
      <c r="R8" s="2">
        <f>[2]!BexGetData("DP_1","00O2TNJGODT0K39D8MCMQJRD0","1000","1700")</f>
        <v>69777853.920000002</v>
      </c>
      <c r="S8" s="2">
        <f>[2]!BexGetData("DP_1","00O2TNJGODT0K39D8MCMQLIKK","1000","1700")</f>
        <v>-69777853.920000002</v>
      </c>
      <c r="T8" s="5">
        <f>[2]!BexGetData("DP_1","00O2TNJGODT0K39D8MCMQLOW4","1000","1700")</f>
        <v>0</v>
      </c>
      <c r="U8" s="2">
        <f>[2]!BexGetData("DP_1","00O2TNJGODT0K39D8MCMQJXOK","1000","1700")</f>
        <v>69777853.920000002</v>
      </c>
      <c r="V8" s="2">
        <f>[2]!BexGetData("DP_1","00O2TNJGODT0K39D8MCMQO5DW","1000","1700")</f>
        <v>4700858.6100000003</v>
      </c>
      <c r="W8" s="2">
        <f>[2]!BexGetData("DP_1","00O2TNJGODT0K39D8MCMQP7B8","1000","1700")</f>
        <v>19673432.66</v>
      </c>
      <c r="X8" s="2">
        <f>[2]!BexGetData("DP_1","00O2TNJGODT0K39D8MCMQQ98K","1000","1700")</f>
        <v>9829574.9000000004</v>
      </c>
      <c r="Y8" s="2">
        <f>[2]!BexGetData("DP_1","00O2TNJGODT0K39D8MCMQRB5W","1000","1700")</f>
        <v>35573987.75</v>
      </c>
      <c r="Z8" s="5">
        <f>[2]!BexGetData("DP_1","00O2TNJGODT0K39D8MCMQSD38","1000","1700")</f>
        <v>0</v>
      </c>
      <c r="AA8" s="5">
        <f>[2]!BexGetData("DP_1","00O2TNJGODT0K39D8MCMQSJES","1000","1700")</f>
        <v>0</v>
      </c>
      <c r="AB8" s="2">
        <f>[2]!BexGetData("DP_1","00O2TNJGODT0K39D8MCMQKABO","1000","1700")</f>
        <v>69777853.920000002</v>
      </c>
      <c r="AC8" s="2">
        <f>[2]!BexGetData("DP_1","00O2TNJGODT0K39D8MCMQOBPG","1000","1700")</f>
        <v>4700858.6100000003</v>
      </c>
      <c r="AD8" s="2">
        <f>[2]!BexGetData("DP_1","00O2TNJGODT0K39D8MCMQPDMS","1000","1700")</f>
        <v>19673432.66</v>
      </c>
      <c r="AE8" s="2">
        <f>[2]!BexGetData("DP_1","00O2TNJGODT0K39D8MCMQQFK4","1000","1700")</f>
        <v>9829574.9000000004</v>
      </c>
      <c r="AF8" s="2">
        <f>[2]!BexGetData("DP_1","00O2TNJGODT0K39D8MCMQRHHG","1000","1700")</f>
        <v>35573987.75</v>
      </c>
      <c r="AG8" s="5">
        <f>[2]!BexGetData("DP_1","00O2TNJGODT0K39D8MCMQSPQC","1000","1700")</f>
        <v>0</v>
      </c>
      <c r="AH8" s="2">
        <f>[2]!BexGetData("DP_1","00O2TNE7L9CBERF5UWFY00YGS","1000","1700")</f>
        <v>69777853.920000002</v>
      </c>
      <c r="AI8" s="2">
        <f>[2]!BexGetData("DP_1","00O2TNJGODT0K39D8MCMQOI10","1000","1700")</f>
        <v>4700858.6100000003</v>
      </c>
      <c r="AJ8" s="2">
        <f>[2]!BexGetData("DP_1","00O2TNJGODT0K39D8MCMQPJYC","1000","1700")</f>
        <v>19673432.66</v>
      </c>
      <c r="AK8" s="2">
        <f>[2]!BexGetData("DP_1","00O2TNJGODT0K39D8MCMQQLVO","1000","1700")</f>
        <v>9829574.9000000004</v>
      </c>
      <c r="AL8" s="2">
        <f>[2]!BexGetData("DP_1","00O2TNJGODT0K39D8MCMQRNT0","1000","1700")</f>
        <v>35573987.75</v>
      </c>
      <c r="AM8" s="5">
        <f>[2]!BexGetData("DP_1","00O2TNJGODT0K39D8MCMQSW1W","1000","1700")</f>
        <v>0</v>
      </c>
      <c r="AN8" s="5">
        <f>[2]!BexGetData("DP_1","00O2TNJGODT0K39D8MCMQT8P0","1000","1700")</f>
        <v>0</v>
      </c>
      <c r="AO8" s="2">
        <f>[2]!BexGetData("DP_1","00O2TNJGODT0K39D8MCMQUGXW","1000","1700")</f>
        <v>69777853.920000002</v>
      </c>
      <c r="AP8" s="6">
        <f>[2]!BexGetData("DP_1","00O2TNJGODT0K39D8MCMQUN9G","1000","1700")</f>
        <v>0.45925229980234999</v>
      </c>
      <c r="AQ8" s="6">
        <f>[2]!BexGetData("DP_1","00O2TNJGODT0K39D8MCMQUZWK","1000","1700")</f>
        <v>0.45925229980234999</v>
      </c>
      <c r="AR8" s="2">
        <f>[2]!BexGetData("DP_1","00O2TNJGODT0K39D8MCMQWR44","1000","1700")</f>
        <v>58607039.240000002</v>
      </c>
      <c r="AS8" s="16">
        <f>[2]!BexGetData("DP_1","00O2TNJGODT0K39D8MCMQXGEC","1000","1700")</f>
        <v>1.1906053406699999</v>
      </c>
      <c r="AT8" s="2">
        <f>[2]!BexGetData("DP_1","00O2TNJGODT0K39D8MCMQXMPW","1000","1700")</f>
        <v>11170814.68</v>
      </c>
      <c r="AU8" s="5">
        <f>[2]!BexGetData("DP_1","00O2TNJGODT0K39D8MCMQXT1G","1000","1700")</f>
        <v>0</v>
      </c>
    </row>
    <row r="9" spans="1:47" x14ac:dyDescent="0.2">
      <c r="A9" s="1" t="s">
        <v>12</v>
      </c>
      <c r="B9" s="10" t="s">
        <v>88</v>
      </c>
      <c r="C9" s="11">
        <f>[2]!BexGetData("DP_1","00O2TNJGODT0K39D8MCMQEUDG","1000","SUMME")</f>
        <v>8634776995</v>
      </c>
      <c r="D9" s="12">
        <f>[2]!BexGetData("DP_1","00O2TNJGODT0K39D8MCMQF0P0","1000","SUMME")</f>
        <v>2255343202.5999999</v>
      </c>
      <c r="E9" s="12">
        <f>[2]!BexGetData("DP_1","00O2TNJGODT0K39D8MCMQF70K","1000","SUMME")</f>
        <v>1967794449.45</v>
      </c>
      <c r="F9" s="12">
        <f>[2]!BexGetData("DP_1","00O2TNJGODT0K39D8MCMQFDC4","1000","SUMME")</f>
        <v>2009880962.98</v>
      </c>
      <c r="G9" s="12">
        <f>[2]!BexGetData("DP_1","00O2TNJGODT0K39D8MCMQFJNO","1000","SUMME")</f>
        <v>2401758379.9699998</v>
      </c>
      <c r="H9" s="11">
        <f>[2]!BexGetData("DP_1","00O2TNJGODT0K39D8MCMQGLL0","1000","SUMME")</f>
        <v>9674068839.9899998</v>
      </c>
      <c r="I9" s="11">
        <f>[2]!BexGetData("DP_1","00O2TNJGODT0K39D8MCMQHNIC","1000","SUMME")</f>
        <v>-9697104712.4099998</v>
      </c>
      <c r="J9" s="11">
        <f>[2]!BexGetData("DP_1","00O2TNJGODT0K3B5ZBNSUNZD9","1000","SUMME")</f>
        <v>-23035872.420000002</v>
      </c>
      <c r="K9" s="11">
        <f>[2]!BexGetData("DP_1","00O2TNJGODT0K39D8MCMQHTTW","1000","SUMME")</f>
        <v>8611741122.5799999</v>
      </c>
      <c r="L9" s="11">
        <f>[2]!BexGetData("DP_1","00O2TNJGODT0K39D8MCMQI05G","1000","SUMME")</f>
        <v>2008648974.1700001</v>
      </c>
      <c r="M9" s="11">
        <f>[2]!BexGetData("DP_1","00O2TNJGODT0K39D8MCMQI6H0","1000","SUMME")</f>
        <v>2004221384.9400001</v>
      </c>
      <c r="N9" s="11">
        <f>[2]!BexGetData("DP_1","00O2TNJGODT0K39D8MCMQICSK","1000","SUMME")</f>
        <v>2016075937.28</v>
      </c>
      <c r="O9" s="11">
        <f>[2]!BexGetData("DP_1","00O2TNJGODT0K39D8MCMQIJ44","1000","SUMME")</f>
        <v>2582794826.1900001</v>
      </c>
      <c r="P9" s="13" t="str">
        <f>[2]!BexGetData("DP_1","00O2TNJGODT0K39D8MCMQIVR8","1000","SUMME")</f>
        <v/>
      </c>
      <c r="Q9" s="11">
        <f>[2]!BexGetData("DP_1","00O2TNJGODT0K39D8MCMQJ22S","1000","SUMME")</f>
        <v>8611741122.5799999</v>
      </c>
      <c r="R9" s="11">
        <f>[2]!BexGetData("DP_1","00O2TNJGODT0K39D8MCMQJRD0","1000","SUMME")</f>
        <v>8545324514.3999996</v>
      </c>
      <c r="S9" s="11">
        <f>[2]!BexGetData("DP_1","00O2TNJGODT0K39D8MCMQLIKK","1000","SUMME")</f>
        <v>-8545324514.3999996</v>
      </c>
      <c r="T9" s="11">
        <f>[2]!BexGetData("DP_1","00O2TNJGODT0K39D8MCMQLOW4","1000","SUMME")</f>
        <v>66416608.18</v>
      </c>
      <c r="U9" s="11">
        <f>[2]!BexGetData("DP_1","00O2TNJGODT0K39D8MCMQJXOK","1000","SUMME")</f>
        <v>8544012413.5500002</v>
      </c>
      <c r="V9" s="11">
        <f>[2]!BexGetData("DP_1","00O2TNJGODT0K39D8MCMQO5DW","1000","SUMME")</f>
        <v>2119032909.72</v>
      </c>
      <c r="W9" s="11">
        <f>[2]!BexGetData("DP_1","00O2TNJGODT0K39D8MCMQP7B8","1000","SUMME")</f>
        <v>2007524932.5699999</v>
      </c>
      <c r="X9" s="11">
        <f>[2]!BexGetData("DP_1","00O2TNJGODT0K39D8MCMQQ98K","1000","SUMME")</f>
        <v>1980042411.9100001</v>
      </c>
      <c r="Y9" s="11">
        <f>[2]!BexGetData("DP_1","00O2TNJGODT0K39D8MCMQRB5W","1000","SUMME")</f>
        <v>2437412159.3499999</v>
      </c>
      <c r="Z9" s="11">
        <f>[2]!BexGetData("DP_1","00O2TNJGODT0K39D8MCMQSD38","1000","SUMME")</f>
        <v>1312100.8500000001</v>
      </c>
      <c r="AA9" s="11">
        <f>[2]!BexGetData("DP_1","00O2TNJGODT0K39D8MCMQSJES","1000","SUMME")</f>
        <v>67728709.030000001</v>
      </c>
      <c r="AB9" s="11">
        <f>[2]!BexGetData("DP_1","00O2TNJGODT0K39D8MCMQKABO","1000","SUMME")</f>
        <v>8544012413.5500002</v>
      </c>
      <c r="AC9" s="11">
        <f>[2]!BexGetData("DP_1","00O2TNJGODT0K39D8MCMQOBPG","1000","SUMME")</f>
        <v>2119032909.72</v>
      </c>
      <c r="AD9" s="11">
        <f>[2]!BexGetData("DP_1","00O2TNJGODT0K39D8MCMQPDMS","1000","SUMME")</f>
        <v>2007524932.5699999</v>
      </c>
      <c r="AE9" s="11">
        <f>[2]!BexGetData("DP_1","00O2TNJGODT0K39D8MCMQQFK4","1000","SUMME")</f>
        <v>1980042411.9100001</v>
      </c>
      <c r="AF9" s="11">
        <f>[2]!BexGetData("DP_1","00O2TNJGODT0K39D8MCMQRHHG","1000","SUMME")</f>
        <v>2437412159.3499999</v>
      </c>
      <c r="AG9" s="14">
        <f>[2]!BexGetData("DP_1","00O2TNJGODT0K39D8MCMQSPQC","1000","SUMME")</f>
        <v>0</v>
      </c>
      <c r="AH9" s="11">
        <f>[2]!BexGetData("DP_1","00O2TNE7L9CBERF5UWFY00YGS","1000","SUMME")</f>
        <v>8454042777.9099998</v>
      </c>
      <c r="AI9" s="11">
        <f>[2]!BexGetData("DP_1","00O2TNJGODT0K39D8MCMQOI10","1000","SUMME")</f>
        <v>1881531016.76</v>
      </c>
      <c r="AJ9" s="11">
        <f>[2]!BexGetData("DP_1","00O2TNJGODT0K39D8MCMQPJYC","1000","SUMME")</f>
        <v>2068160858.3800001</v>
      </c>
      <c r="AK9" s="11">
        <f>[2]!BexGetData("DP_1","00O2TNJGODT0K39D8MCMQQLVO","1000","SUMME")</f>
        <v>1944741548.24</v>
      </c>
      <c r="AL9" s="11">
        <f>[2]!BexGetData("DP_1","00O2TNJGODT0K39D8MCMQRNT0","1000","SUMME")</f>
        <v>2559609354.5300002</v>
      </c>
      <c r="AM9" s="11">
        <f>[2]!BexGetData("DP_1","00O2TNJGODT0K39D8MCMQSW1W","1000","SUMME")</f>
        <v>89969635.640000001</v>
      </c>
      <c r="AN9" s="11">
        <f>[2]!BexGetData("DP_1","00O2TNJGODT0K39D8MCMQT8P0","1000","SUMME")</f>
        <v>67728709.030000001</v>
      </c>
      <c r="AO9" s="11">
        <f>[2]!BexGetData("DP_1","00O2TNJGODT0K39D8MCMQUGXW","1000","SUMME")</f>
        <v>8611741122.5799999</v>
      </c>
      <c r="AP9" s="15">
        <f>[2]!BexGetData("DP_1","00O2TNJGODT0K39D8MCMQUN9G","1000","SUMME")</f>
        <v>0.98948848574751003</v>
      </c>
      <c r="AQ9" s="15">
        <f>[2]!BexGetData("DP_1","00O2TNJGODT0K39D8MCMQUZWK","1000","SUMME")</f>
        <v>0.98948848574751003</v>
      </c>
      <c r="AR9" s="11">
        <f>[2]!BexGetData("DP_1","00O2TNJGODT0K39D8MCMQWR44","1000","SUMME")</f>
        <v>8114523295.1300001</v>
      </c>
      <c r="AS9" s="17">
        <f>[2]!BexGetData("DP_1","00O2TNJGODT0K39D8MCMQXGEC","1000","SUMME")</f>
        <v>1.05292844727894</v>
      </c>
      <c r="AT9" s="11">
        <f>[2]!BexGetData("DP_1","00O2TNJGODT0K39D8MCMQXMPW","1000","SUMME")</f>
        <v>429489118.42000002</v>
      </c>
      <c r="AU9" s="14">
        <f>[2]!BexGetData("DP_1","00O2TNJGODT0K39D8MCMQXT1G","1000","SUMME")</f>
        <v>0</v>
      </c>
    </row>
    <row r="10" spans="1:47" x14ac:dyDescent="0.2">
      <c r="A10" s="1" t="s">
        <v>14</v>
      </c>
      <c r="B10" s="1" t="s">
        <v>71</v>
      </c>
      <c r="C10" s="2">
        <f>[2]!BexGetData("DP_1","00O2TNJGODT0K39D8MCMQEUDG","2000","2100")</f>
        <v>104333416.78</v>
      </c>
      <c r="D10" s="3">
        <f>[2]!BexGetData("DP_1","00O2TNJGODT0K39D8MCMQF0P0","2000","2100")</f>
        <v>25206613.93</v>
      </c>
      <c r="E10" s="3">
        <f>[2]!BexGetData("DP_1","00O2TNJGODT0K39D8MCMQF70K","2000","2100")</f>
        <v>38305214.039999999</v>
      </c>
      <c r="F10" s="3">
        <f>[2]!BexGetData("DP_1","00O2TNJGODT0K39D8MCMQFDC4","2000","2100")</f>
        <v>22386816.359999999</v>
      </c>
      <c r="G10" s="3">
        <f>[2]!BexGetData("DP_1","00O2TNJGODT0K39D8MCMQFJNO","2000","2100")</f>
        <v>18434772.449999999</v>
      </c>
      <c r="H10" s="2">
        <f>[2]!BexGetData("DP_1","00O2TNJGODT0K39D8MCMQGLL0","2000","2100")</f>
        <v>258065126.66</v>
      </c>
      <c r="I10" s="2">
        <f>[2]!BexGetData("DP_1","00O2TNJGODT0K39D8MCMQHNIC","2000","2100")</f>
        <v>-157372354.46000001</v>
      </c>
      <c r="J10" s="2">
        <f>[2]!BexGetData("DP_1","00O2TNJGODT0K3B5ZBNSUNZD9","2000","2100")</f>
        <v>100692772.2</v>
      </c>
      <c r="K10" s="2">
        <f>[2]!BexGetData("DP_1","00O2TNJGODT0K39D8MCMQHTTW","2000","2100")</f>
        <v>205026188.97999999</v>
      </c>
      <c r="L10" s="2">
        <f>[2]!BexGetData("DP_1","00O2TNJGODT0K39D8MCMQI05G","2000","2100")</f>
        <v>49029220.409999996</v>
      </c>
      <c r="M10" s="2">
        <f>[2]!BexGetData("DP_1","00O2TNJGODT0K39D8MCMQI6H0","2000","2100")</f>
        <v>70831739.439999998</v>
      </c>
      <c r="N10" s="2">
        <f>[2]!BexGetData("DP_1","00O2TNJGODT0K39D8MCMQICSK","2000","2100")</f>
        <v>24344926.890000001</v>
      </c>
      <c r="O10" s="2">
        <f>[2]!BexGetData("DP_1","00O2TNJGODT0K39D8MCMQIJ44","2000","2100")</f>
        <v>60820302.240000002</v>
      </c>
      <c r="P10" s="2">
        <f>[2]!BexGetData("DP_1","00O2TNJGODT0K39D8MCMQIVR8","2000","2100")</f>
        <v>117668.05</v>
      </c>
      <c r="Q10" s="2">
        <f>[2]!BexGetData("DP_1","00O2TNJGODT0K39D8MCMQJ22S","2000","2100")</f>
        <v>204908520.93000001</v>
      </c>
      <c r="R10" s="2">
        <f>[2]!BexGetData("DP_1","00O2TNJGODT0K39D8MCMQJRD0","2000","2100")</f>
        <v>204458118.21000001</v>
      </c>
      <c r="S10" s="2">
        <f>[2]!BexGetData("DP_1","00O2TNJGODT0K39D8MCMQLIKK","2000","2100")</f>
        <v>-204340450.16</v>
      </c>
      <c r="T10" s="2">
        <f>[2]!BexGetData("DP_1","00O2TNJGODT0K39D8MCMQLOW4","2000","2100")</f>
        <v>450402.72</v>
      </c>
      <c r="U10" s="2">
        <f>[2]!BexGetData("DP_1","00O2TNJGODT0K39D8MCMQJXOK","2000","2100")</f>
        <v>203471026.58000001</v>
      </c>
      <c r="V10" s="2">
        <f>[2]!BexGetData("DP_1","00O2TNJGODT0K39D8MCMQO5DW","2000","2100")</f>
        <v>13213582.41</v>
      </c>
      <c r="W10" s="2">
        <f>[2]!BexGetData("DP_1","00O2TNJGODT0K39D8MCMQP7B8","2000","2100")</f>
        <v>45041418.5</v>
      </c>
      <c r="X10" s="2">
        <f>[2]!BexGetData("DP_1","00O2TNJGODT0K39D8MCMQQ98K","2000","2100")</f>
        <v>81132089.340000004</v>
      </c>
      <c r="Y10" s="2">
        <f>[2]!BexGetData("DP_1","00O2TNJGODT0K39D8MCMQRB5W","2000","2100")</f>
        <v>64083936.329999998</v>
      </c>
      <c r="Z10" s="2">
        <f>[2]!BexGetData("DP_1","00O2TNJGODT0K39D8MCMQSD38","2000","2100")</f>
        <v>987091.63</v>
      </c>
      <c r="AA10" s="2">
        <f>[2]!BexGetData("DP_1","00O2TNJGODT0K39D8MCMQSJES","2000","2100")</f>
        <v>1555162.4</v>
      </c>
      <c r="AB10" s="2">
        <f>[2]!BexGetData("DP_1","00O2TNJGODT0K39D8MCMQKABO","2000","2100")</f>
        <v>197700162.21000001</v>
      </c>
      <c r="AC10" s="2">
        <f>[2]!BexGetData("DP_1","00O2TNJGODT0K39D8MCMQOBPG","2000","2100")</f>
        <v>10978091.52</v>
      </c>
      <c r="AD10" s="2">
        <f>[2]!BexGetData("DP_1","00O2TNJGODT0K39D8MCMQPDMS","2000","2100")</f>
        <v>44001567.350000001</v>
      </c>
      <c r="AE10" s="2">
        <f>[2]!BexGetData("DP_1","00O2TNJGODT0K39D8MCMQQFK4","2000","2100")</f>
        <v>80453991.109999999</v>
      </c>
      <c r="AF10" s="2">
        <f>[2]!BexGetData("DP_1","00O2TNJGODT0K39D8MCMQRHHG","2000","2100")</f>
        <v>62266512.229999997</v>
      </c>
      <c r="AG10" s="2">
        <f>[2]!BexGetData("DP_1","00O2TNJGODT0K39D8MCMQSPQC","2000","2100")</f>
        <v>5770864.3700000001</v>
      </c>
      <c r="AH10" s="2">
        <f>[2]!BexGetData("DP_1","00O2TNE7L9CBERF5UWFY00YGS","2000","2100")</f>
        <v>152757130.72</v>
      </c>
      <c r="AI10" s="2">
        <f>[2]!BexGetData("DP_1","00O2TNJGODT0K39D8MCMQOI10","2000","2100")</f>
        <v>4271104.6100000003</v>
      </c>
      <c r="AJ10" s="2">
        <f>[2]!BexGetData("DP_1","00O2TNJGODT0K39D8MCMQPJYC","2000","2100")</f>
        <v>23779533.719999999</v>
      </c>
      <c r="AK10" s="2">
        <f>[2]!BexGetData("DP_1","00O2TNJGODT0K39D8MCMQQLVO","2000","2100")</f>
        <v>79209452.010000005</v>
      </c>
      <c r="AL10" s="2">
        <f>[2]!BexGetData("DP_1","00O2TNJGODT0K39D8MCMQRNT0","2000","2100")</f>
        <v>45497040.380000003</v>
      </c>
      <c r="AM10" s="2">
        <f>[2]!BexGetData("DP_1","00O2TNJGODT0K39D8MCMQSW1W","2000","2100")</f>
        <v>44943031.490000002</v>
      </c>
      <c r="AN10" s="2">
        <f>[2]!BexGetData("DP_1","00O2TNJGODT0K39D8MCMQT8P0","2000","2100")</f>
        <v>1555162.4</v>
      </c>
      <c r="AO10" s="2">
        <f>[2]!BexGetData("DP_1","00O2TNJGODT0K39D8MCMQUGXW","2000","2100")</f>
        <v>205026188.97999999</v>
      </c>
      <c r="AP10" s="6">
        <f>[2]!BexGetData("DP_1","00O2TNJGODT0K39D8MCMQUN9G","2000","2100")</f>
        <v>1.9501999729295201</v>
      </c>
      <c r="AQ10" s="6">
        <f>[2]!BexGetData("DP_1","00O2TNJGODT0K39D8MCMQUZWK","2000","2100")</f>
        <v>1.9501999729295201</v>
      </c>
      <c r="AR10" s="2">
        <f>[2]!BexGetData("DP_1","00O2TNJGODT0K39D8MCMQWR44","2000","2100")</f>
        <v>175710817.00999999</v>
      </c>
      <c r="AS10" s="16">
        <f>[2]!BexGetData("DP_1","00O2TNJGODT0K39D8MCMQXGEC","2000","2100")</f>
        <v>1.15798805129009</v>
      </c>
      <c r="AT10" s="2">
        <f>[2]!BexGetData("DP_1","00O2TNJGODT0K39D8MCMQXMPW","2000","2100")</f>
        <v>27760209.57</v>
      </c>
      <c r="AU10" s="5">
        <f>[2]!BexGetData("DP_1","00O2TNJGODT0K39D8MCMQXT1G","2000","2100")</f>
        <v>0</v>
      </c>
    </row>
    <row r="11" spans="1:47" x14ac:dyDescent="0.2">
      <c r="A11" s="1" t="s">
        <v>12</v>
      </c>
      <c r="B11" s="1" t="s">
        <v>72</v>
      </c>
      <c r="C11" s="2">
        <f>[2]!BexGetData("DP_1","00O2TNJGODT0K39D8MCMQEUDG","2000","2200")</f>
        <v>203917379.55000001</v>
      </c>
      <c r="D11" s="3">
        <f>[2]!BexGetData("DP_1","00O2TNJGODT0K39D8MCMQF0P0","2000","2200")</f>
        <v>49502430.810000002</v>
      </c>
      <c r="E11" s="3">
        <f>[2]!BexGetData("DP_1","00O2TNJGODT0K39D8MCMQF70K","2000","2200")</f>
        <v>52158809.060000002</v>
      </c>
      <c r="F11" s="3">
        <f>[2]!BexGetData("DP_1","00O2TNJGODT0K39D8MCMQFDC4","2000","2200")</f>
        <v>51491717.509999998</v>
      </c>
      <c r="G11" s="3">
        <f>[2]!BexGetData("DP_1","00O2TNJGODT0K39D8MCMQFJNO","2000","2200")</f>
        <v>50764422.170000002</v>
      </c>
      <c r="H11" s="2">
        <f>[2]!BexGetData("DP_1","00O2TNJGODT0K39D8MCMQGLL0","2000","2200")</f>
        <v>49748307.090000004</v>
      </c>
      <c r="I11" s="2">
        <f>[2]!BexGetData("DP_1","00O2TNJGODT0K39D8MCMQHNIC","2000","2200")</f>
        <v>-59615376.210000001</v>
      </c>
      <c r="J11" s="2">
        <f>[2]!BexGetData("DP_1","00O2TNJGODT0K3B5ZBNSUNZD9","2000","2200")</f>
        <v>-9867069.1199999992</v>
      </c>
      <c r="K11" s="2">
        <f>[2]!BexGetData("DP_1","00O2TNJGODT0K39D8MCMQHTTW","2000","2200")</f>
        <v>194050310.43000001</v>
      </c>
      <c r="L11" s="2">
        <f>[2]!BexGetData("DP_1","00O2TNJGODT0K39D8MCMQI05G","2000","2200")</f>
        <v>47486973.630000003</v>
      </c>
      <c r="M11" s="2">
        <f>[2]!BexGetData("DP_1","00O2TNJGODT0K39D8MCMQI6H0","2000","2200")</f>
        <v>36093432.939999998</v>
      </c>
      <c r="N11" s="2">
        <f>[2]!BexGetData("DP_1","00O2TNJGODT0K39D8MCMQICSK","2000","2200")</f>
        <v>54967059.549999997</v>
      </c>
      <c r="O11" s="2">
        <f>[2]!BexGetData("DP_1","00O2TNJGODT0K39D8MCMQIJ44","2000","2200")</f>
        <v>55502844.310000002</v>
      </c>
      <c r="P11" s="2">
        <f>[2]!BexGetData("DP_1","00O2TNJGODT0K39D8MCMQIVR8","2000","2200")</f>
        <v>76469.899999999994</v>
      </c>
      <c r="Q11" s="2">
        <f>[2]!BexGetData("DP_1","00O2TNJGODT0K39D8MCMQJ22S","2000","2200")</f>
        <v>193973840.53</v>
      </c>
      <c r="R11" s="2">
        <f>[2]!BexGetData("DP_1","00O2TNJGODT0K39D8MCMQJRD0","2000","2200")</f>
        <v>193885762.21000001</v>
      </c>
      <c r="S11" s="2">
        <f>[2]!BexGetData("DP_1","00O2TNJGODT0K39D8MCMQLIKK","2000","2200")</f>
        <v>-193809292.31</v>
      </c>
      <c r="T11" s="2">
        <f>[2]!BexGetData("DP_1","00O2TNJGODT0K39D8MCMQLOW4","2000","2200")</f>
        <v>88078.32</v>
      </c>
      <c r="U11" s="2">
        <f>[2]!BexGetData("DP_1","00O2TNJGODT0K39D8MCMQJXOK","2000","2200")</f>
        <v>193702627.88</v>
      </c>
      <c r="V11" s="2">
        <f>[2]!BexGetData("DP_1","00O2TNJGODT0K39D8MCMQO5DW","2000","2200")</f>
        <v>39084190.460000001</v>
      </c>
      <c r="W11" s="2">
        <f>[2]!BexGetData("DP_1","00O2TNJGODT0K39D8MCMQP7B8","2000","2200")</f>
        <v>34920069.310000002</v>
      </c>
      <c r="X11" s="2">
        <f>[2]!BexGetData("DP_1","00O2TNJGODT0K39D8MCMQQ98K","2000","2200")</f>
        <v>65713892.049999997</v>
      </c>
      <c r="Y11" s="2">
        <f>[2]!BexGetData("DP_1","00O2TNJGODT0K39D8MCMQRB5W","2000","2200")</f>
        <v>53984476.060000002</v>
      </c>
      <c r="Z11" s="2">
        <f>[2]!BexGetData("DP_1","00O2TNJGODT0K39D8MCMQSD38","2000","2200")</f>
        <v>183134.33</v>
      </c>
      <c r="AA11" s="2">
        <f>[2]!BexGetData("DP_1","00O2TNJGODT0K39D8MCMQSJES","2000","2200")</f>
        <v>347682.55</v>
      </c>
      <c r="AB11" s="2">
        <f>[2]!BexGetData("DP_1","00O2TNJGODT0K39D8MCMQKABO","2000","2200")</f>
        <v>189114025.19999999</v>
      </c>
      <c r="AC11" s="2">
        <f>[2]!BexGetData("DP_1","00O2TNJGODT0K39D8MCMQOBPG","2000","2200")</f>
        <v>4042839.19</v>
      </c>
      <c r="AD11" s="2">
        <f>[2]!BexGetData("DP_1","00O2TNJGODT0K39D8MCMQPDMS","2000","2200")</f>
        <v>69749167.920000002</v>
      </c>
      <c r="AE11" s="2">
        <f>[2]!BexGetData("DP_1","00O2TNJGODT0K39D8MCMQQFK4","2000","2200")</f>
        <v>54417297.710000001</v>
      </c>
      <c r="AF11" s="2">
        <f>[2]!BexGetData("DP_1","00O2TNJGODT0K39D8MCMQRHHG","2000","2200")</f>
        <v>60904720.380000003</v>
      </c>
      <c r="AG11" s="2">
        <f>[2]!BexGetData("DP_1","00O2TNJGODT0K39D8MCMQSPQC","2000","2200")</f>
        <v>4588602.68</v>
      </c>
      <c r="AH11" s="2">
        <f>[2]!BexGetData("DP_1","00O2TNE7L9CBERF5UWFY00YGS","2000","2200")</f>
        <v>136138505.05000001</v>
      </c>
      <c r="AI11" s="2">
        <f>[2]!BexGetData("DP_1","00O2TNJGODT0K39D8MCMQOI10","2000","2200")</f>
        <v>1366371.47</v>
      </c>
      <c r="AJ11" s="2">
        <f>[2]!BexGetData("DP_1","00O2TNJGODT0K39D8MCMQPJYC","2000","2200")</f>
        <v>30081024.27</v>
      </c>
      <c r="AK11" s="2">
        <f>[2]!BexGetData("DP_1","00O2TNJGODT0K39D8MCMQQLVO","2000","2200")</f>
        <v>52035726.32</v>
      </c>
      <c r="AL11" s="2">
        <f>[2]!BexGetData("DP_1","00O2TNJGODT0K39D8MCMQRNT0","2000","2200")</f>
        <v>52655382.990000002</v>
      </c>
      <c r="AM11" s="2">
        <f>[2]!BexGetData("DP_1","00O2TNJGODT0K39D8MCMQSW1W","2000","2200")</f>
        <v>52975520.149999999</v>
      </c>
      <c r="AN11" s="2">
        <f>[2]!BexGetData("DP_1","00O2TNJGODT0K39D8MCMQT8P0","2000","2200")</f>
        <v>347682.55</v>
      </c>
      <c r="AO11" s="2">
        <f>[2]!BexGetData("DP_1","00O2TNJGODT0K39D8MCMQUGXW","2000","2200")</f>
        <v>194050310.43000001</v>
      </c>
      <c r="AP11" s="6">
        <f>[2]!BexGetData("DP_1","00O2TNJGODT0K39D8MCMQUN9G","2000","2200")</f>
        <v>0.94990740027876996</v>
      </c>
      <c r="AQ11" s="6">
        <f>[2]!BexGetData("DP_1","00O2TNJGODT0K39D8MCMQUZWK","2000","2200")</f>
        <v>0.94990740027876996</v>
      </c>
      <c r="AR11" s="2">
        <f>[2]!BexGetData("DP_1","00O2TNJGODT0K39D8MCMQWR44","2000","2200")</f>
        <v>217566234.19999999</v>
      </c>
      <c r="AS11" s="16">
        <f>[2]!BexGetData("DP_1","00O2TNJGODT0K39D8MCMQXGEC","2000","2200")</f>
        <v>0.89031567141957002</v>
      </c>
      <c r="AT11" s="2">
        <f>[2]!BexGetData("DP_1","00O2TNJGODT0K39D8MCMQXMPW","2000","2200")</f>
        <v>-23863606.32</v>
      </c>
      <c r="AU11" s="5">
        <f>[2]!BexGetData("DP_1","00O2TNJGODT0K39D8MCMQXT1G","2000","2200")</f>
        <v>0</v>
      </c>
    </row>
    <row r="12" spans="1:47" x14ac:dyDescent="0.2">
      <c r="A12" s="1" t="s">
        <v>12</v>
      </c>
      <c r="B12" s="1" t="s">
        <v>105</v>
      </c>
      <c r="C12" s="2">
        <f>[2]!BexGetData("DP_1","00O2TNJGODT0K39D8MCMQEUDG","2000","2300")</f>
        <v>30000</v>
      </c>
      <c r="D12" s="4" t="str">
        <f>[2]!BexGetData("DP_1","00O2TNJGODT0K39D8MCMQF0P0","2000","2300")</f>
        <v/>
      </c>
      <c r="E12" s="3">
        <f>[2]!BexGetData("DP_1","00O2TNJGODT0K39D8MCMQF70K","2000","2300")</f>
        <v>27000</v>
      </c>
      <c r="F12" s="3">
        <f>[2]!BexGetData("DP_1","00O2TNJGODT0K39D8MCMQFDC4","2000","2300")</f>
        <v>3000</v>
      </c>
      <c r="G12" s="4" t="str">
        <f>[2]!BexGetData("DP_1","00O2TNJGODT0K39D8MCMQFJNO","2000","2300")</f>
        <v/>
      </c>
      <c r="H12" s="2">
        <f>[2]!BexGetData("DP_1","00O2TNJGODT0K39D8MCMQGLL0","2000","2300")</f>
        <v>3201.6</v>
      </c>
      <c r="I12" s="2">
        <f>[2]!BexGetData("DP_1","00O2TNJGODT0K39D8MCMQHNIC","2000","2300")</f>
        <v>-33201.599999999999</v>
      </c>
      <c r="J12" s="2">
        <f>[2]!BexGetData("DP_1","00O2TNJGODT0K3B5ZBNSUNZD9","2000","2300")</f>
        <v>-30000</v>
      </c>
      <c r="K12" s="5">
        <f>[2]!BexGetData("DP_1","00O2TNJGODT0K39D8MCMQHTTW","2000","2300")</f>
        <v>0</v>
      </c>
      <c r="L12" s="4" t="str">
        <f>[2]!BexGetData("DP_1","00O2TNJGODT0K39D8MCMQI05G","2000","2300")</f>
        <v/>
      </c>
      <c r="M12" s="2">
        <f>[2]!BexGetData("DP_1","00O2TNJGODT0K39D8MCMQI6H0","2000","2300")</f>
        <v>20000</v>
      </c>
      <c r="N12" s="2">
        <f>[2]!BexGetData("DP_1","00O2TNJGODT0K39D8MCMQICSK","2000","2300")</f>
        <v>-20000</v>
      </c>
      <c r="O12" s="5">
        <f>[2]!BexGetData("DP_1","00O2TNJGODT0K39D8MCMQIJ44","2000","2300")</f>
        <v>0</v>
      </c>
      <c r="P12" s="4" t="str">
        <f>[2]!BexGetData("DP_1","00O2TNJGODT0K39D8MCMQIVR8","2000","2300")</f>
        <v/>
      </c>
      <c r="Q12" s="5">
        <f>[2]!BexGetData("DP_1","00O2TNJGODT0K39D8MCMQJ22S","2000","2300")</f>
        <v>0</v>
      </c>
      <c r="R12" s="5">
        <f>[2]!BexGetData("DP_1","00O2TNJGODT0K39D8MCMQJRD0","2000","2300")</f>
        <v>0</v>
      </c>
      <c r="S12" s="5">
        <f>[2]!BexGetData("DP_1","00O2TNJGODT0K39D8MCMQLIKK","2000","2300")</f>
        <v>0</v>
      </c>
      <c r="T12" s="5">
        <f>[2]!BexGetData("DP_1","00O2TNJGODT0K39D8MCMQLOW4","2000","2300")</f>
        <v>0</v>
      </c>
      <c r="U12" s="4" t="str">
        <f>[2]!BexGetData("DP_1","00O2TNJGODT0K39D8MCMQJXOK","2000","2300")</f>
        <v/>
      </c>
      <c r="V12" s="5">
        <f>[2]!BexGetData("DP_1","00O2TNJGODT0K39D8MCMQO5DW","2000","2300")</f>
        <v>0</v>
      </c>
      <c r="W12" s="5">
        <f>[2]!BexGetData("DP_1","00O2TNJGODT0K39D8MCMQP7B8","2000","2300")</f>
        <v>0</v>
      </c>
      <c r="X12" s="5">
        <f>[2]!BexGetData("DP_1","00O2TNJGODT0K39D8MCMQQ98K","2000","2300")</f>
        <v>0</v>
      </c>
      <c r="Y12" s="5">
        <f>[2]!BexGetData("DP_1","00O2TNJGODT0K39D8MCMQRB5W","2000","2300")</f>
        <v>0</v>
      </c>
      <c r="Z12" s="5">
        <f>[2]!BexGetData("DP_1","00O2TNJGODT0K39D8MCMQSD38","2000","2300")</f>
        <v>0</v>
      </c>
      <c r="AA12" s="5">
        <f>[2]!BexGetData("DP_1","00O2TNJGODT0K39D8MCMQSJES","2000","2300")</f>
        <v>0</v>
      </c>
      <c r="AB12" s="4" t="str">
        <f>[2]!BexGetData("DP_1","00O2TNJGODT0K39D8MCMQKABO","2000","2300")</f>
        <v/>
      </c>
      <c r="AC12" s="5">
        <f>[2]!BexGetData("DP_1","00O2TNJGODT0K39D8MCMQOBPG","2000","2300")</f>
        <v>0</v>
      </c>
      <c r="AD12" s="5">
        <f>[2]!BexGetData("DP_1","00O2TNJGODT0K39D8MCMQPDMS","2000","2300")</f>
        <v>0</v>
      </c>
      <c r="AE12" s="5">
        <f>[2]!BexGetData("DP_1","00O2TNJGODT0K39D8MCMQQFK4","2000","2300")</f>
        <v>0</v>
      </c>
      <c r="AF12" s="5">
        <f>[2]!BexGetData("DP_1","00O2TNJGODT0K39D8MCMQRHHG","2000","2300")</f>
        <v>0</v>
      </c>
      <c r="AG12" s="4" t="str">
        <f>[2]!BexGetData("DP_1","00O2TNJGODT0K39D8MCMQSPQC","2000","2300")</f>
        <v/>
      </c>
      <c r="AH12" s="4" t="str">
        <f>[2]!BexGetData("DP_1","00O2TNE7L9CBERF5UWFY00YGS","2000","2300")</f>
        <v/>
      </c>
      <c r="AI12" s="5">
        <f>[2]!BexGetData("DP_1","00O2TNJGODT0K39D8MCMQOI10","2000","2300")</f>
        <v>0</v>
      </c>
      <c r="AJ12" s="5">
        <f>[2]!BexGetData("DP_1","00O2TNJGODT0K39D8MCMQPJYC","2000","2300")</f>
        <v>0</v>
      </c>
      <c r="AK12" s="5">
        <f>[2]!BexGetData("DP_1","00O2TNJGODT0K39D8MCMQQLVO","2000","2300")</f>
        <v>0</v>
      </c>
      <c r="AL12" s="5">
        <f>[2]!BexGetData("DP_1","00O2TNJGODT0K39D8MCMQRNT0","2000","2300")</f>
        <v>0</v>
      </c>
      <c r="AM12" s="4" t="str">
        <f>[2]!BexGetData("DP_1","00O2TNJGODT0K39D8MCMQSW1W","2000","2300")</f>
        <v/>
      </c>
      <c r="AN12" s="5">
        <f>[2]!BexGetData("DP_1","00O2TNJGODT0K39D8MCMQT8P0","2000","2300")</f>
        <v>0</v>
      </c>
      <c r="AO12" s="5">
        <f>[2]!BexGetData("DP_1","00O2TNJGODT0K39D8MCMQUGXW","2000","2300")</f>
        <v>0</v>
      </c>
      <c r="AP12" s="4" t="str">
        <f>[2]!BexGetData("DP_1","00O2TNJGODT0K39D8MCMQUN9G","2000","2300")</f>
        <v/>
      </c>
      <c r="AQ12" s="4" t="str">
        <f>[2]!BexGetData("DP_1","00O2TNJGODT0K39D8MCMQUZWK","2000","2300")</f>
        <v/>
      </c>
      <c r="AR12" s="4" t="str">
        <f>[2]!BexGetData("DP_1","00O2TNJGODT0K39D8MCMQWR44","2000","2300")</f>
        <v/>
      </c>
      <c r="AS12" s="4" t="str">
        <f>[2]!BexGetData("DP_1","00O2TNJGODT0K39D8MCMQXGEC","2000","2300")</f>
        <v/>
      </c>
      <c r="AT12" s="4" t="str">
        <f>[2]!BexGetData("DP_1","00O2TNJGODT0K39D8MCMQXMPW","2000","2300")</f>
        <v/>
      </c>
      <c r="AU12" s="5">
        <f>[2]!BexGetData("DP_1","00O2TNJGODT0K39D8MCMQXT1G","2000","2300")</f>
        <v>0</v>
      </c>
    </row>
    <row r="13" spans="1:47" x14ac:dyDescent="0.2">
      <c r="A13" s="1" t="s">
        <v>12</v>
      </c>
      <c r="B13" s="1" t="s">
        <v>73</v>
      </c>
      <c r="C13" s="2">
        <f>[2]!BexGetData("DP_1","00O2TNJGODT0K39D8MCMQEUDG","2000","2400")</f>
        <v>9252410.7699999996</v>
      </c>
      <c r="D13" s="3">
        <f>[2]!BexGetData("DP_1","00O2TNJGODT0K39D8MCMQF0P0","2000","2400")</f>
        <v>1423968.76</v>
      </c>
      <c r="E13" s="3">
        <f>[2]!BexGetData("DP_1","00O2TNJGODT0K39D8MCMQF70K","2000","2400")</f>
        <v>3788837.26</v>
      </c>
      <c r="F13" s="3">
        <f>[2]!BexGetData("DP_1","00O2TNJGODT0K39D8MCMQFDC4","2000","2400")</f>
        <v>2139674.64</v>
      </c>
      <c r="G13" s="3">
        <f>[2]!BexGetData("DP_1","00O2TNJGODT0K39D8MCMQFJNO","2000","2400")</f>
        <v>1899930.11</v>
      </c>
      <c r="H13" s="2">
        <f>[2]!BexGetData("DP_1","00O2TNJGODT0K39D8MCMQGLL0","2000","2400")</f>
        <v>18693297.48</v>
      </c>
      <c r="I13" s="2">
        <f>[2]!BexGetData("DP_1","00O2TNJGODT0K39D8MCMQHNIC","2000","2400")</f>
        <v>-15958263.880000001</v>
      </c>
      <c r="J13" s="2">
        <f>[2]!BexGetData("DP_1","00O2TNJGODT0K3B5ZBNSUNZD9","2000","2400")</f>
        <v>2735033.6</v>
      </c>
      <c r="K13" s="2">
        <f>[2]!BexGetData("DP_1","00O2TNJGODT0K39D8MCMQHTTW","2000","2400")</f>
        <v>11987444.369999999</v>
      </c>
      <c r="L13" s="2">
        <f>[2]!BexGetData("DP_1","00O2TNJGODT0K39D8MCMQI05G","2000","2400")</f>
        <v>3180308.46</v>
      </c>
      <c r="M13" s="2">
        <f>[2]!BexGetData("DP_1","00O2TNJGODT0K39D8MCMQI6H0","2000","2400")</f>
        <v>976025.15</v>
      </c>
      <c r="N13" s="2">
        <f>[2]!BexGetData("DP_1","00O2TNJGODT0K39D8MCMQICSK","2000","2400")</f>
        <v>1675625.89</v>
      </c>
      <c r="O13" s="2">
        <f>[2]!BexGetData("DP_1","00O2TNJGODT0K39D8MCMQIJ44","2000","2400")</f>
        <v>6155484.8700000001</v>
      </c>
      <c r="P13" s="2">
        <f>[2]!BexGetData("DP_1","00O2TNJGODT0K39D8MCMQIVR8","2000","2400")</f>
        <v>28434.13</v>
      </c>
      <c r="Q13" s="2">
        <f>[2]!BexGetData("DP_1","00O2TNJGODT0K39D8MCMQJ22S","2000","2400")</f>
        <v>11959010.24</v>
      </c>
      <c r="R13" s="2">
        <f>[2]!BexGetData("DP_1","00O2TNJGODT0K39D8MCMQJRD0","2000","2400")</f>
        <v>11930382.52</v>
      </c>
      <c r="S13" s="2">
        <f>[2]!BexGetData("DP_1","00O2TNJGODT0K39D8MCMQLIKK","2000","2400")</f>
        <v>-11901948.390000001</v>
      </c>
      <c r="T13" s="2">
        <f>[2]!BexGetData("DP_1","00O2TNJGODT0K39D8MCMQLOW4","2000","2400")</f>
        <v>28627.72</v>
      </c>
      <c r="U13" s="2">
        <f>[2]!BexGetData("DP_1","00O2TNJGODT0K39D8MCMQJXOK","2000","2400")</f>
        <v>11840793.74</v>
      </c>
      <c r="V13" s="2">
        <f>[2]!BexGetData("DP_1","00O2TNJGODT0K39D8MCMQO5DW","2000","2400")</f>
        <v>1486246.7</v>
      </c>
      <c r="W13" s="2">
        <f>[2]!BexGetData("DP_1","00O2TNJGODT0K39D8MCMQP7B8","2000","2400")</f>
        <v>2052148.99</v>
      </c>
      <c r="X13" s="2">
        <f>[2]!BexGetData("DP_1","00O2TNJGODT0K39D8MCMQQ98K","2000","2400")</f>
        <v>1911963.43</v>
      </c>
      <c r="Y13" s="2">
        <f>[2]!BexGetData("DP_1","00O2TNJGODT0K39D8MCMQRB5W","2000","2400")</f>
        <v>6390434.6200000001</v>
      </c>
      <c r="Z13" s="2">
        <f>[2]!BexGetData("DP_1","00O2TNJGODT0K39D8MCMQSD38","2000","2400")</f>
        <v>89588.78</v>
      </c>
      <c r="AA13" s="2">
        <f>[2]!BexGetData("DP_1","00O2TNJGODT0K39D8MCMQSJES","2000","2400")</f>
        <v>146650.63</v>
      </c>
      <c r="AB13" s="2">
        <f>[2]!BexGetData("DP_1","00O2TNJGODT0K39D8MCMQKABO","2000","2400")</f>
        <v>11763309.35</v>
      </c>
      <c r="AC13" s="2">
        <f>[2]!BexGetData("DP_1","00O2TNJGODT0K39D8MCMQOBPG","2000","2400")</f>
        <v>1431329.75</v>
      </c>
      <c r="AD13" s="2">
        <f>[2]!BexGetData("DP_1","00O2TNJGODT0K39D8MCMQPDMS","2000","2400")</f>
        <v>2254358.7000000002</v>
      </c>
      <c r="AE13" s="2">
        <f>[2]!BexGetData("DP_1","00O2TNJGODT0K39D8MCMQQFK4","2000","2400")</f>
        <v>1379738.02</v>
      </c>
      <c r="AF13" s="2">
        <f>[2]!BexGetData("DP_1","00O2TNJGODT0K39D8MCMQRHHG","2000","2400")</f>
        <v>6697882.8799999999</v>
      </c>
      <c r="AG13" s="2">
        <f>[2]!BexGetData("DP_1","00O2TNJGODT0K39D8MCMQSPQC","2000","2400")</f>
        <v>77484.39</v>
      </c>
      <c r="AH13" s="2">
        <f>[2]!BexGetData("DP_1","00O2TNE7L9CBERF5UWFY00YGS","2000","2400")</f>
        <v>10653656.33</v>
      </c>
      <c r="AI13" s="2">
        <f>[2]!BexGetData("DP_1","00O2TNJGODT0K39D8MCMQOI10","2000","2400")</f>
        <v>1214286.17</v>
      </c>
      <c r="AJ13" s="2">
        <f>[2]!BexGetData("DP_1","00O2TNJGODT0K39D8MCMQPJYC","2000","2400")</f>
        <v>1194519.3899999999</v>
      </c>
      <c r="AK13" s="2">
        <f>[2]!BexGetData("DP_1","00O2TNJGODT0K39D8MCMQQLVO","2000","2400")</f>
        <v>1483840.05</v>
      </c>
      <c r="AL13" s="2">
        <f>[2]!BexGetData("DP_1","00O2TNJGODT0K39D8MCMQRNT0","2000","2400")</f>
        <v>6761010.7199999997</v>
      </c>
      <c r="AM13" s="2">
        <f>[2]!BexGetData("DP_1","00O2TNJGODT0K39D8MCMQSW1W","2000","2400")</f>
        <v>1109653.02</v>
      </c>
      <c r="AN13" s="2">
        <f>[2]!BexGetData("DP_1","00O2TNJGODT0K39D8MCMQT8P0","2000","2400")</f>
        <v>146650.63</v>
      </c>
      <c r="AO13" s="2">
        <f>[2]!BexGetData("DP_1","00O2TNJGODT0K39D8MCMQUGXW","2000","2400")</f>
        <v>11987444.369999999</v>
      </c>
      <c r="AP13" s="6">
        <f>[2]!BexGetData("DP_1","00O2TNJGODT0K39D8MCMQUN9G","2000","2400")</f>
        <v>1.2797522758492901</v>
      </c>
      <c r="AQ13" s="6">
        <f>[2]!BexGetData("DP_1","00O2TNJGODT0K39D8MCMQUZWK","2000","2400")</f>
        <v>1.2797522758492901</v>
      </c>
      <c r="AR13" s="2">
        <f>[2]!BexGetData("DP_1","00O2TNJGODT0K39D8MCMQWR44","2000","2400")</f>
        <v>8800425.9800000004</v>
      </c>
      <c r="AS13" s="16">
        <f>[2]!BexGetData("DP_1","00O2TNJGODT0K39D8MCMQXGEC","2000","2400")</f>
        <v>1.3454796127948301</v>
      </c>
      <c r="AT13" s="2">
        <f>[2]!BexGetData("DP_1","00O2TNJGODT0K39D8MCMQXMPW","2000","2400")</f>
        <v>3040367.76</v>
      </c>
      <c r="AU13" s="5">
        <f>[2]!BexGetData("DP_1","00O2TNJGODT0K39D8MCMQXT1G","2000","2400")</f>
        <v>0</v>
      </c>
    </row>
    <row r="14" spans="1:47" x14ac:dyDescent="0.2">
      <c r="A14" s="1" t="s">
        <v>12</v>
      </c>
      <c r="B14" s="1" t="s">
        <v>93</v>
      </c>
      <c r="C14" s="2">
        <f>[2]!BexGetData("DP_1","00O2TNJGODT0K39D8MCMQEUDG","2000","2500")</f>
        <v>5963460.5300000003</v>
      </c>
      <c r="D14" s="3">
        <f>[2]!BexGetData("DP_1","00O2TNJGODT0K39D8MCMQF0P0","2000","2500")</f>
        <v>1228092</v>
      </c>
      <c r="E14" s="3">
        <f>[2]!BexGetData("DP_1","00O2TNJGODT0K39D8MCMQF70K","2000","2500")</f>
        <v>1732062</v>
      </c>
      <c r="F14" s="3">
        <f>[2]!BexGetData("DP_1","00O2TNJGODT0K39D8MCMQFDC4","2000","2500")</f>
        <v>1650229</v>
      </c>
      <c r="G14" s="3">
        <f>[2]!BexGetData("DP_1","00O2TNJGODT0K39D8MCMQFJNO","2000","2500")</f>
        <v>1353077.53</v>
      </c>
      <c r="H14" s="2">
        <f>[2]!BexGetData("DP_1","00O2TNJGODT0K39D8MCMQGLL0","2000","2500")</f>
        <v>49201389.439999998</v>
      </c>
      <c r="I14" s="2">
        <f>[2]!BexGetData("DP_1","00O2TNJGODT0K39D8MCMQHNIC","2000","2500")</f>
        <v>-39337397.18</v>
      </c>
      <c r="J14" s="2">
        <f>[2]!BexGetData("DP_1","00O2TNJGODT0K3B5ZBNSUNZD9","2000","2500")</f>
        <v>9863992.2599999998</v>
      </c>
      <c r="K14" s="2">
        <f>[2]!BexGetData("DP_1","00O2TNJGODT0K39D8MCMQHTTW","2000","2500")</f>
        <v>15827452.789999999</v>
      </c>
      <c r="L14" s="2">
        <f>[2]!BexGetData("DP_1","00O2TNJGODT0K39D8MCMQI05G","2000","2500")</f>
        <v>1159324.3799999999</v>
      </c>
      <c r="M14" s="2">
        <f>[2]!BexGetData("DP_1","00O2TNJGODT0K39D8MCMQI6H0","2000","2500")</f>
        <v>12080694.550000001</v>
      </c>
      <c r="N14" s="2">
        <f>[2]!BexGetData("DP_1","00O2TNJGODT0K39D8MCMQICSK","2000","2500")</f>
        <v>488738.98</v>
      </c>
      <c r="O14" s="2">
        <f>[2]!BexGetData("DP_1","00O2TNJGODT0K39D8MCMQIJ44","2000","2500")</f>
        <v>2098694.88</v>
      </c>
      <c r="P14" s="2">
        <f>[2]!BexGetData("DP_1","00O2TNJGODT0K39D8MCMQIVR8","2000","2500")</f>
        <v>-12862.5</v>
      </c>
      <c r="Q14" s="2">
        <f>[2]!BexGetData("DP_1","00O2TNJGODT0K39D8MCMQJ22S","2000","2500")</f>
        <v>15840315.289999999</v>
      </c>
      <c r="R14" s="2">
        <f>[2]!BexGetData("DP_1","00O2TNJGODT0K39D8MCMQJRD0","2000","2500")</f>
        <v>15811342.99</v>
      </c>
      <c r="S14" s="2">
        <f>[2]!BexGetData("DP_1","00O2TNJGODT0K39D8MCMQLIKK","2000","2500")</f>
        <v>-15824205.49</v>
      </c>
      <c r="T14" s="2">
        <f>[2]!BexGetData("DP_1","00O2TNJGODT0K39D8MCMQLOW4","2000","2500")</f>
        <v>28972.3</v>
      </c>
      <c r="U14" s="2">
        <f>[2]!BexGetData("DP_1","00O2TNJGODT0K39D8MCMQJXOK","2000","2500")</f>
        <v>15809258.77</v>
      </c>
      <c r="V14" s="2">
        <f>[2]!BexGetData("DP_1","00O2TNJGODT0K39D8MCMQO5DW","2000","2500")</f>
        <v>373806.22</v>
      </c>
      <c r="W14" s="2">
        <f>[2]!BexGetData("DP_1","00O2TNJGODT0K39D8MCMQP7B8","2000","2500")</f>
        <v>1327450.97</v>
      </c>
      <c r="X14" s="2">
        <f>[2]!BexGetData("DP_1","00O2TNJGODT0K39D8MCMQQ98K","2000","2500")</f>
        <v>1210296.57</v>
      </c>
      <c r="Y14" s="2">
        <f>[2]!BexGetData("DP_1","00O2TNJGODT0K39D8MCMQRB5W","2000","2500")</f>
        <v>12897705.01</v>
      </c>
      <c r="Z14" s="2">
        <f>[2]!BexGetData("DP_1","00O2TNJGODT0K39D8MCMQSD38","2000","2500")</f>
        <v>2084.2199999999998</v>
      </c>
      <c r="AA14" s="2">
        <f>[2]!BexGetData("DP_1","00O2TNJGODT0K39D8MCMQSJES","2000","2500")</f>
        <v>18194.02</v>
      </c>
      <c r="AB14" s="2">
        <f>[2]!BexGetData("DP_1","00O2TNJGODT0K39D8MCMQKABO","2000","2500")</f>
        <v>15808269.289999999</v>
      </c>
      <c r="AC14" s="2">
        <f>[2]!BexGetData("DP_1","00O2TNJGODT0K39D8MCMQOBPG","2000","2500")</f>
        <v>371369.52</v>
      </c>
      <c r="AD14" s="2">
        <f>[2]!BexGetData("DP_1","00O2TNJGODT0K39D8MCMQPDMS","2000","2500")</f>
        <v>1332977.5</v>
      </c>
      <c r="AE14" s="2">
        <f>[2]!BexGetData("DP_1","00O2TNJGODT0K39D8MCMQQFK4","2000","2500")</f>
        <v>1086438.07</v>
      </c>
      <c r="AF14" s="2">
        <f>[2]!BexGetData("DP_1","00O2TNJGODT0K39D8MCMQRHHG","2000","2500")</f>
        <v>13017484.199999999</v>
      </c>
      <c r="AG14" s="2">
        <f>[2]!BexGetData("DP_1","00O2TNJGODT0K39D8MCMQSPQC","2000","2500")</f>
        <v>989.48</v>
      </c>
      <c r="AH14" s="2">
        <f>[2]!BexGetData("DP_1","00O2TNE7L9CBERF5UWFY00YGS","2000","2500")</f>
        <v>13409262.609999999</v>
      </c>
      <c r="AI14" s="2">
        <f>[2]!BexGetData("DP_1","00O2TNJGODT0K39D8MCMQOI10","2000","2500")</f>
        <v>24254.57</v>
      </c>
      <c r="AJ14" s="2">
        <f>[2]!BexGetData("DP_1","00O2TNJGODT0K39D8MCMQPJYC","2000","2500")</f>
        <v>635000.24</v>
      </c>
      <c r="AK14" s="2">
        <f>[2]!BexGetData("DP_1","00O2TNJGODT0K39D8MCMQQLVO","2000","2500")</f>
        <v>1503147.15</v>
      </c>
      <c r="AL14" s="2">
        <f>[2]!BexGetData("DP_1","00O2TNJGODT0K39D8MCMQRNT0","2000","2500")</f>
        <v>11246860.65</v>
      </c>
      <c r="AM14" s="2">
        <f>[2]!BexGetData("DP_1","00O2TNJGODT0K39D8MCMQSW1W","2000","2500")</f>
        <v>2399006.6800000002</v>
      </c>
      <c r="AN14" s="2">
        <f>[2]!BexGetData("DP_1","00O2TNJGODT0K39D8MCMQT8P0","2000","2500")</f>
        <v>18194.02</v>
      </c>
      <c r="AO14" s="2">
        <f>[2]!BexGetData("DP_1","00O2TNJGODT0K39D8MCMQUGXW","2000","2500")</f>
        <v>15827452.789999999</v>
      </c>
      <c r="AP14" s="6">
        <f>[2]!BexGetData("DP_1","00O2TNJGODT0K39D8MCMQUN9G","2000","2500")</f>
        <v>2.6510209450484998</v>
      </c>
      <c r="AQ14" s="6">
        <f>[2]!BexGetData("DP_1","00O2TNJGODT0K39D8MCMQUZWK","2000","2500")</f>
        <v>2.6510209450484998</v>
      </c>
      <c r="AR14" s="2">
        <f>[2]!BexGetData("DP_1","00O2TNJGODT0K39D8MCMQWR44","2000","2500")</f>
        <v>9995714.9299999997</v>
      </c>
      <c r="AS14" s="16">
        <f>[2]!BexGetData("DP_1","00O2TNJGODT0K39D8MCMQXGEC","2000","2500")</f>
        <v>1.58160360521606</v>
      </c>
      <c r="AT14" s="2">
        <f>[2]!BexGetData("DP_1","00O2TNJGODT0K39D8MCMQXMPW","2000","2500")</f>
        <v>5813543.8399999999</v>
      </c>
      <c r="AU14" s="5">
        <f>[2]!BexGetData("DP_1","00O2TNJGODT0K39D8MCMQXT1G","2000","2500")</f>
        <v>0</v>
      </c>
    </row>
    <row r="15" spans="1:47" x14ac:dyDescent="0.2">
      <c r="A15" s="1" t="s">
        <v>12</v>
      </c>
      <c r="B15" s="1" t="s">
        <v>74</v>
      </c>
      <c r="C15" s="2">
        <f>[2]!BexGetData("DP_1","00O2TNJGODT0K39D8MCMQEUDG","2000","2600")</f>
        <v>81178803.260000005</v>
      </c>
      <c r="D15" s="3">
        <f>[2]!BexGetData("DP_1","00O2TNJGODT0K39D8MCMQF0P0","2000","2600")</f>
        <v>19027442.359999999</v>
      </c>
      <c r="E15" s="3">
        <f>[2]!BexGetData("DP_1","00O2TNJGODT0K39D8MCMQF70K","2000","2600")</f>
        <v>22408871.550000001</v>
      </c>
      <c r="F15" s="3">
        <f>[2]!BexGetData("DP_1","00O2TNJGODT0K39D8MCMQFDC4","2000","2600")</f>
        <v>20438930.66</v>
      </c>
      <c r="G15" s="3">
        <f>[2]!BexGetData("DP_1","00O2TNJGODT0K39D8MCMQFJNO","2000","2600")</f>
        <v>19303558.690000001</v>
      </c>
      <c r="H15" s="2">
        <f>[2]!BexGetData("DP_1","00O2TNJGODT0K39D8MCMQGLL0","2000","2600")</f>
        <v>109474412.09</v>
      </c>
      <c r="I15" s="2">
        <f>[2]!BexGetData("DP_1","00O2TNJGODT0K39D8MCMQHNIC","2000","2600")</f>
        <v>-56336113.079999998</v>
      </c>
      <c r="J15" s="2">
        <f>[2]!BexGetData("DP_1","00O2TNJGODT0K3B5ZBNSUNZD9","2000","2600")</f>
        <v>53138299.009999998</v>
      </c>
      <c r="K15" s="2">
        <f>[2]!BexGetData("DP_1","00O2TNJGODT0K39D8MCMQHTTW","2000","2600")</f>
        <v>134317102.27000001</v>
      </c>
      <c r="L15" s="2">
        <f>[2]!BexGetData("DP_1","00O2TNJGODT0K39D8MCMQI05G","2000","2600")</f>
        <v>24235483.039999999</v>
      </c>
      <c r="M15" s="2">
        <f>[2]!BexGetData("DP_1","00O2TNJGODT0K39D8MCMQI6H0","2000","2600")</f>
        <v>24370701.530000001</v>
      </c>
      <c r="N15" s="2">
        <f>[2]!BexGetData("DP_1","00O2TNJGODT0K39D8MCMQICSK","2000","2600")</f>
        <v>37856889.990000002</v>
      </c>
      <c r="O15" s="2">
        <f>[2]!BexGetData("DP_1","00O2TNJGODT0K39D8MCMQIJ44","2000","2600")</f>
        <v>47854027.710000001</v>
      </c>
      <c r="P15" s="2">
        <f>[2]!BexGetData("DP_1","00O2TNJGODT0K39D8MCMQIVR8","2000","2600")</f>
        <v>169519.61</v>
      </c>
      <c r="Q15" s="2">
        <f>[2]!BexGetData("DP_1","00O2TNJGODT0K39D8MCMQJ22S","2000","2600")</f>
        <v>134147582.66</v>
      </c>
      <c r="R15" s="2">
        <f>[2]!BexGetData("DP_1","00O2TNJGODT0K39D8MCMQJRD0","2000","2600")</f>
        <v>133960770.3</v>
      </c>
      <c r="S15" s="2">
        <f>[2]!BexGetData("DP_1","00O2TNJGODT0K39D8MCMQLIKK","2000","2600")</f>
        <v>-133791250.69</v>
      </c>
      <c r="T15" s="2">
        <f>[2]!BexGetData("DP_1","00O2TNJGODT0K39D8MCMQLOW4","2000","2600")</f>
        <v>186812.36</v>
      </c>
      <c r="U15" s="2">
        <f>[2]!BexGetData("DP_1","00O2TNJGODT0K39D8MCMQJXOK","2000","2600")</f>
        <v>133083687</v>
      </c>
      <c r="V15" s="2">
        <f>[2]!BexGetData("DP_1","00O2TNJGODT0K39D8MCMQO5DW","2000","2600")</f>
        <v>19413068.870000001</v>
      </c>
      <c r="W15" s="2">
        <f>[2]!BexGetData("DP_1","00O2TNJGODT0K39D8MCMQP7B8","2000","2600")</f>
        <v>29776137.140000001</v>
      </c>
      <c r="X15" s="2">
        <f>[2]!BexGetData("DP_1","00O2TNJGODT0K39D8MCMQQ98K","2000","2600")</f>
        <v>44762822.719999999</v>
      </c>
      <c r="Y15" s="2">
        <f>[2]!BexGetData("DP_1","00O2TNJGODT0K39D8MCMQRB5W","2000","2600")</f>
        <v>39131658.270000003</v>
      </c>
      <c r="Z15" s="2">
        <f>[2]!BexGetData("DP_1","00O2TNJGODT0K39D8MCMQSD38","2000","2600")</f>
        <v>877083.3</v>
      </c>
      <c r="AA15" s="2">
        <f>[2]!BexGetData("DP_1","00O2TNJGODT0K39D8MCMQSJES","2000","2600")</f>
        <v>1233415.27</v>
      </c>
      <c r="AB15" s="2">
        <f>[2]!BexGetData("DP_1","00O2TNJGODT0K39D8MCMQKABO","2000","2600")</f>
        <v>127119472.72</v>
      </c>
      <c r="AC15" s="2">
        <f>[2]!BexGetData("DP_1","00O2TNJGODT0K39D8MCMQOBPG","2000","2600")</f>
        <v>17921101.91</v>
      </c>
      <c r="AD15" s="2">
        <f>[2]!BexGetData("DP_1","00O2TNJGODT0K39D8MCMQPDMS","2000","2600")</f>
        <v>29370754</v>
      </c>
      <c r="AE15" s="2">
        <f>[2]!BexGetData("DP_1","00O2TNJGODT0K39D8MCMQQFK4","2000","2600")</f>
        <v>45334055.82</v>
      </c>
      <c r="AF15" s="2">
        <f>[2]!BexGetData("DP_1","00O2TNJGODT0K39D8MCMQRHHG","2000","2600")</f>
        <v>34493560.990000002</v>
      </c>
      <c r="AG15" s="2">
        <f>[2]!BexGetData("DP_1","00O2TNJGODT0K39D8MCMQSPQC","2000","2600")</f>
        <v>5964214.2800000003</v>
      </c>
      <c r="AH15" s="2">
        <f>[2]!BexGetData("DP_1","00O2TNE7L9CBERF5UWFY00YGS","2000","2600")</f>
        <v>126993595.25</v>
      </c>
      <c r="AI15" s="2">
        <f>[2]!BexGetData("DP_1","00O2TNJGODT0K39D8MCMQOI10","2000","2600")</f>
        <v>17395370.379999999</v>
      </c>
      <c r="AJ15" s="2">
        <f>[2]!BexGetData("DP_1","00O2TNJGODT0K39D8MCMQPJYC","2000","2600")</f>
        <v>29140391.670000002</v>
      </c>
      <c r="AK15" s="2">
        <f>[2]!BexGetData("DP_1","00O2TNJGODT0K39D8MCMQQLVO","2000","2600")</f>
        <v>40199535.729999997</v>
      </c>
      <c r="AL15" s="2">
        <f>[2]!BexGetData("DP_1","00O2TNJGODT0K39D8MCMQRNT0","2000","2600")</f>
        <v>40258297.469999999</v>
      </c>
      <c r="AM15" s="2">
        <f>[2]!BexGetData("DP_1","00O2TNJGODT0K39D8MCMQSW1W","2000","2600")</f>
        <v>125877.47</v>
      </c>
      <c r="AN15" s="2">
        <f>[2]!BexGetData("DP_1","00O2TNJGODT0K39D8MCMQT8P0","2000","2600")</f>
        <v>1233415.27</v>
      </c>
      <c r="AO15" s="2">
        <f>[2]!BexGetData("DP_1","00O2TNJGODT0K39D8MCMQUGXW","2000","2600")</f>
        <v>134317102.27000001</v>
      </c>
      <c r="AP15" s="6">
        <f>[2]!BexGetData("DP_1","00O2TNJGODT0K39D8MCMQUN9G","2000","2600")</f>
        <v>1.63938961472195</v>
      </c>
      <c r="AQ15" s="6">
        <f>[2]!BexGetData("DP_1","00O2TNJGODT0K39D8MCMQUZWK","2000","2600")</f>
        <v>1.63938961472195</v>
      </c>
      <c r="AR15" s="2">
        <f>[2]!BexGetData("DP_1","00O2TNJGODT0K39D8MCMQWR44","2000","2600")</f>
        <v>104873453.13</v>
      </c>
      <c r="AS15" s="16">
        <f>[2]!BexGetData("DP_1","00O2TNJGODT0K39D8MCMQXGEC","2000","2600")</f>
        <v>1.2689930866968899</v>
      </c>
      <c r="AT15" s="2">
        <f>[2]!BexGetData("DP_1","00O2TNJGODT0K39D8MCMQXMPW","2000","2600")</f>
        <v>28210233.870000001</v>
      </c>
      <c r="AU15" s="5">
        <f>[2]!BexGetData("DP_1","00O2TNJGODT0K39D8MCMQXT1G","2000","2600")</f>
        <v>0</v>
      </c>
    </row>
    <row r="16" spans="1:47" x14ac:dyDescent="0.2">
      <c r="A16" s="1" t="s">
        <v>12</v>
      </c>
      <c r="B16" s="1" t="s">
        <v>75</v>
      </c>
      <c r="C16" s="2">
        <f>[2]!BexGetData("DP_1","00O2TNJGODT0K39D8MCMQEUDG","2000","2700")</f>
        <v>4926132.1500000004</v>
      </c>
      <c r="D16" s="3">
        <f>[2]!BexGetData("DP_1","00O2TNJGODT0K39D8MCMQF0P0","2000","2700")</f>
        <v>2898595.09</v>
      </c>
      <c r="E16" s="3">
        <f>[2]!BexGetData("DP_1","00O2TNJGODT0K39D8MCMQF70K","2000","2700")</f>
        <v>1552220.31</v>
      </c>
      <c r="F16" s="3">
        <f>[2]!BexGetData("DP_1","00O2TNJGODT0K39D8MCMQFDC4","2000","2700")</f>
        <v>407719.31</v>
      </c>
      <c r="G16" s="3">
        <f>[2]!BexGetData("DP_1","00O2TNJGODT0K39D8MCMQFJNO","2000","2700")</f>
        <v>67597.440000000002</v>
      </c>
      <c r="H16" s="2">
        <f>[2]!BexGetData("DP_1","00O2TNJGODT0K39D8MCMQGLL0","2000","2700")</f>
        <v>112327995.77</v>
      </c>
      <c r="I16" s="2">
        <f>[2]!BexGetData("DP_1","00O2TNJGODT0K39D8MCMQHNIC","2000","2700")</f>
        <v>-85529934.540000007</v>
      </c>
      <c r="J16" s="2">
        <f>[2]!BexGetData("DP_1","00O2TNJGODT0K3B5ZBNSUNZD9","2000","2700")</f>
        <v>26798061.23</v>
      </c>
      <c r="K16" s="2">
        <f>[2]!BexGetData("DP_1","00O2TNJGODT0K39D8MCMQHTTW","2000","2700")</f>
        <v>31724193.379999999</v>
      </c>
      <c r="L16" s="2">
        <f>[2]!BexGetData("DP_1","00O2TNJGODT0K39D8MCMQI05G","2000","2700")</f>
        <v>8945211.0899999999</v>
      </c>
      <c r="M16" s="2">
        <f>[2]!BexGetData("DP_1","00O2TNJGODT0K39D8MCMQI6H0","2000","2700")</f>
        <v>17424568.460000001</v>
      </c>
      <c r="N16" s="2">
        <f>[2]!BexGetData("DP_1","00O2TNJGODT0K39D8MCMQICSK","2000","2700")</f>
        <v>4561228.55</v>
      </c>
      <c r="O16" s="2">
        <f>[2]!BexGetData("DP_1","00O2TNJGODT0K39D8MCMQIJ44","2000","2700")</f>
        <v>793185.28000000003</v>
      </c>
      <c r="P16" s="5">
        <f>[2]!BexGetData("DP_1","00O2TNJGODT0K39D8MCMQIVR8","2000","2700")</f>
        <v>0</v>
      </c>
      <c r="Q16" s="2">
        <f>[2]!BexGetData("DP_1","00O2TNJGODT0K39D8MCMQJ22S","2000","2700")</f>
        <v>31724193.379999999</v>
      </c>
      <c r="R16" s="2">
        <f>[2]!BexGetData("DP_1","00O2TNJGODT0K39D8MCMQJRD0","2000","2700")</f>
        <v>31676477.170000002</v>
      </c>
      <c r="S16" s="2">
        <f>[2]!BexGetData("DP_1","00O2TNJGODT0K39D8MCMQLIKK","2000","2700")</f>
        <v>-31676477.170000002</v>
      </c>
      <c r="T16" s="2">
        <f>[2]!BexGetData("DP_1","00O2TNJGODT0K39D8MCMQLOW4","2000","2700")</f>
        <v>47716.21</v>
      </c>
      <c r="U16" s="2">
        <f>[2]!BexGetData("DP_1","00O2TNJGODT0K39D8MCMQJXOK","2000","2700")</f>
        <v>31673693.59</v>
      </c>
      <c r="V16" s="2">
        <f>[2]!BexGetData("DP_1","00O2TNJGODT0K39D8MCMQO5DW","2000","2700")</f>
        <v>4322135.0199999996</v>
      </c>
      <c r="W16" s="2">
        <f>[2]!BexGetData("DP_1","00O2TNJGODT0K39D8MCMQP7B8","2000","2700")</f>
        <v>2056449.89</v>
      </c>
      <c r="X16" s="2">
        <f>[2]!BexGetData("DP_1","00O2TNJGODT0K39D8MCMQQ98K","2000","2700")</f>
        <v>10562131.57</v>
      </c>
      <c r="Y16" s="2">
        <f>[2]!BexGetData("DP_1","00O2TNJGODT0K39D8MCMQRB5W","2000","2700")</f>
        <v>14732977.109999999</v>
      </c>
      <c r="Z16" s="2">
        <f>[2]!BexGetData("DP_1","00O2TNJGODT0K39D8MCMQSD38","2000","2700")</f>
        <v>2783.58</v>
      </c>
      <c r="AA16" s="2">
        <f>[2]!BexGetData("DP_1","00O2TNJGODT0K39D8MCMQSJES","2000","2700")</f>
        <v>50499.79</v>
      </c>
      <c r="AB16" s="2">
        <f>[2]!BexGetData("DP_1","00O2TNJGODT0K39D8MCMQKABO","2000","2700")</f>
        <v>30090861.559999999</v>
      </c>
      <c r="AC16" s="2">
        <f>[2]!BexGetData("DP_1","00O2TNJGODT0K39D8MCMQOBPG","2000","2700")</f>
        <v>4112727.47</v>
      </c>
      <c r="AD16" s="2">
        <f>[2]!BexGetData("DP_1","00O2TNJGODT0K39D8MCMQPDMS","2000","2700")</f>
        <v>2224115.54</v>
      </c>
      <c r="AE16" s="2">
        <f>[2]!BexGetData("DP_1","00O2TNJGODT0K39D8MCMQQFK4","2000","2700")</f>
        <v>10314317.800000001</v>
      </c>
      <c r="AF16" s="2">
        <f>[2]!BexGetData("DP_1","00O2TNJGODT0K39D8MCMQRHHG","2000","2700")</f>
        <v>13439700.75</v>
      </c>
      <c r="AG16" s="2">
        <f>[2]!BexGetData("DP_1","00O2TNJGODT0K39D8MCMQSPQC","2000","2700")</f>
        <v>1582832.03</v>
      </c>
      <c r="AH16" s="2">
        <f>[2]!BexGetData("DP_1","00O2TNE7L9CBERF5UWFY00YGS","2000","2700")</f>
        <v>25426917.300000001</v>
      </c>
      <c r="AI16" s="2">
        <f>[2]!BexGetData("DP_1","00O2TNJGODT0K39D8MCMQOI10","2000","2700")</f>
        <v>4054957.84</v>
      </c>
      <c r="AJ16" s="2">
        <f>[2]!BexGetData("DP_1","00O2TNJGODT0K39D8MCMQPJYC","2000","2700")</f>
        <v>2072845.05</v>
      </c>
      <c r="AK16" s="2">
        <f>[2]!BexGetData("DP_1","00O2TNJGODT0K39D8MCMQQLVO","2000","2700")</f>
        <v>5959661.8899999997</v>
      </c>
      <c r="AL16" s="2">
        <f>[2]!BexGetData("DP_1","00O2TNJGODT0K39D8MCMQRNT0","2000","2700")</f>
        <v>13339452.52</v>
      </c>
      <c r="AM16" s="2">
        <f>[2]!BexGetData("DP_1","00O2TNJGODT0K39D8MCMQSW1W","2000","2700")</f>
        <v>4663944.26</v>
      </c>
      <c r="AN16" s="2">
        <f>[2]!BexGetData("DP_1","00O2TNJGODT0K39D8MCMQT8P0","2000","2700")</f>
        <v>50499.79</v>
      </c>
      <c r="AO16" s="2">
        <f>[2]!BexGetData("DP_1","00O2TNJGODT0K39D8MCMQUGXW","2000","2700")</f>
        <v>31724193.379999999</v>
      </c>
      <c r="AP16" s="6">
        <f>[2]!BexGetData("DP_1","00O2TNJGODT0K39D8MCMQUN9G","2000","2700")</f>
        <v>6.4297287660056002</v>
      </c>
      <c r="AQ16" s="6">
        <f>[2]!BexGetData("DP_1","00O2TNJGODT0K39D8MCMQUZWK","2000","2700")</f>
        <v>6.4297287660056002</v>
      </c>
      <c r="AR16" s="2">
        <f>[2]!BexGetData("DP_1","00O2TNJGODT0K39D8MCMQWR44","2000","2700")</f>
        <v>259865711.31</v>
      </c>
      <c r="AS16" s="16">
        <f>[2]!BexGetData("DP_1","00O2TNJGODT0K39D8MCMQXGEC","2000","2700")</f>
        <v>0.12188485133467999</v>
      </c>
      <c r="AT16" s="2">
        <f>[2]!BexGetData("DP_1","00O2TNJGODT0K39D8MCMQXMPW","2000","2700")</f>
        <v>-228192017.72</v>
      </c>
      <c r="AU16" s="5">
        <f>[2]!BexGetData("DP_1","00O2TNJGODT0K39D8MCMQXT1G","2000","2700")</f>
        <v>0</v>
      </c>
    </row>
    <row r="17" spans="1:47" x14ac:dyDescent="0.2">
      <c r="A17" s="1" t="s">
        <v>12</v>
      </c>
      <c r="B17" s="1" t="s">
        <v>106</v>
      </c>
      <c r="C17" s="2">
        <f>[2]!BexGetData("DP_1","00O2TNJGODT0K39D8MCMQEUDG","2000","2800")</f>
        <v>18198</v>
      </c>
      <c r="D17" s="4" t="str">
        <f>[2]!BexGetData("DP_1","00O2TNJGODT0K39D8MCMQF0P0","2000","2800")</f>
        <v/>
      </c>
      <c r="E17" s="3">
        <f>[2]!BexGetData("DP_1","00O2TNJGODT0K39D8MCMQF70K","2000","2800")</f>
        <v>14198</v>
      </c>
      <c r="F17" s="3">
        <f>[2]!BexGetData("DP_1","00O2TNJGODT0K39D8MCMQFDC4","2000","2800")</f>
        <v>4000</v>
      </c>
      <c r="G17" s="4" t="str">
        <f>[2]!BexGetData("DP_1","00O2TNJGODT0K39D8MCMQFJNO","2000","2800")</f>
        <v/>
      </c>
      <c r="H17" s="2">
        <f>[2]!BexGetData("DP_1","00O2TNJGODT0K39D8MCMQGLL0","2000","2800")</f>
        <v>149462387.15000001</v>
      </c>
      <c r="I17" s="2">
        <f>[2]!BexGetData("DP_1","00O2TNJGODT0K39D8MCMQHNIC","2000","2800")</f>
        <v>-127050953.7</v>
      </c>
      <c r="J17" s="2">
        <f>[2]!BexGetData("DP_1","00O2TNJGODT0K3B5ZBNSUNZD9","2000","2800")</f>
        <v>22411433.449999999</v>
      </c>
      <c r="K17" s="2">
        <f>[2]!BexGetData("DP_1","00O2TNJGODT0K39D8MCMQHTTW","2000","2800")</f>
        <v>22429631.449999999</v>
      </c>
      <c r="L17" s="2">
        <f>[2]!BexGetData("DP_1","00O2TNJGODT0K39D8MCMQI05G","2000","2800")</f>
        <v>4953004.6500000004</v>
      </c>
      <c r="M17" s="2">
        <f>[2]!BexGetData("DP_1","00O2TNJGODT0K39D8MCMQI6H0","2000","2800")</f>
        <v>17156810.629999999</v>
      </c>
      <c r="N17" s="2">
        <f>[2]!BexGetData("DP_1","00O2TNJGODT0K39D8MCMQICSK","2000","2800")</f>
        <v>-44402.86</v>
      </c>
      <c r="O17" s="2">
        <f>[2]!BexGetData("DP_1","00O2TNJGODT0K39D8MCMQIJ44","2000","2800")</f>
        <v>364219.03</v>
      </c>
      <c r="P17" s="5">
        <f>[2]!BexGetData("DP_1","00O2TNJGODT0K39D8MCMQIVR8","2000","2800")</f>
        <v>0</v>
      </c>
      <c r="Q17" s="2">
        <f>[2]!BexGetData("DP_1","00O2TNJGODT0K39D8MCMQJ22S","2000","2800")</f>
        <v>22429631.449999999</v>
      </c>
      <c r="R17" s="2">
        <f>[2]!BexGetData("DP_1","00O2TNJGODT0K39D8MCMQJRD0","2000","2800")</f>
        <v>21192826.710000001</v>
      </c>
      <c r="S17" s="2">
        <f>[2]!BexGetData("DP_1","00O2TNJGODT0K39D8MCMQLIKK","2000","2800")</f>
        <v>-21192826.710000001</v>
      </c>
      <c r="T17" s="2">
        <f>[2]!BexGetData("DP_1","00O2TNJGODT0K39D8MCMQLOW4","2000","2800")</f>
        <v>1236804.74</v>
      </c>
      <c r="U17" s="2">
        <f>[2]!BexGetData("DP_1","00O2TNJGODT0K39D8MCMQJXOK","2000","2800")</f>
        <v>20503234.640000001</v>
      </c>
      <c r="V17" s="2">
        <f>[2]!BexGetData("DP_1","00O2TNJGODT0K39D8MCMQO5DW","2000","2800")</f>
        <v>127600</v>
      </c>
      <c r="W17" s="2">
        <f>[2]!BexGetData("DP_1","00O2TNJGODT0K39D8MCMQP7B8","2000","2800")</f>
        <v>171893.97</v>
      </c>
      <c r="X17" s="2">
        <f>[2]!BexGetData("DP_1","00O2TNJGODT0K39D8MCMQQ98K","2000","2800")</f>
        <v>320445.57</v>
      </c>
      <c r="Y17" s="2">
        <f>[2]!BexGetData("DP_1","00O2TNJGODT0K39D8MCMQRB5W","2000","2800")</f>
        <v>19883295.100000001</v>
      </c>
      <c r="Z17" s="2">
        <f>[2]!BexGetData("DP_1","00O2TNJGODT0K39D8MCMQSD38","2000","2800")</f>
        <v>689592.07</v>
      </c>
      <c r="AA17" s="2">
        <f>[2]!BexGetData("DP_1","00O2TNJGODT0K39D8MCMQSJES","2000","2800")</f>
        <v>1926396.81</v>
      </c>
      <c r="AB17" s="2">
        <f>[2]!BexGetData("DP_1","00O2TNJGODT0K39D8MCMQKABO","2000","2800")</f>
        <v>20503234.640000001</v>
      </c>
      <c r="AC17" s="5">
        <f>[2]!BexGetData("DP_1","00O2TNJGODT0K39D8MCMQOBPG","2000","2800")</f>
        <v>0</v>
      </c>
      <c r="AD17" s="2">
        <f>[2]!BexGetData("DP_1","00O2TNJGODT0K39D8MCMQPDMS","2000","2800")</f>
        <v>299493.96999999997</v>
      </c>
      <c r="AE17" s="2">
        <f>[2]!BexGetData("DP_1","00O2TNJGODT0K39D8MCMQQFK4","2000","2800")</f>
        <v>231674.02</v>
      </c>
      <c r="AF17" s="2">
        <f>[2]!BexGetData("DP_1","00O2TNJGODT0K39D8MCMQRHHG","2000","2800")</f>
        <v>19972066.649999999</v>
      </c>
      <c r="AG17" s="5">
        <f>[2]!BexGetData("DP_1","00O2TNJGODT0K39D8MCMQSPQC","2000","2800")</f>
        <v>0</v>
      </c>
      <c r="AH17" s="2">
        <f>[2]!BexGetData("DP_1","00O2TNE7L9CBERF5UWFY00YGS","2000","2800")</f>
        <v>20214364.48</v>
      </c>
      <c r="AI17" s="5">
        <f>[2]!BexGetData("DP_1","00O2TNJGODT0K39D8MCMQOI10","2000","2800")</f>
        <v>0</v>
      </c>
      <c r="AJ17" s="2">
        <f>[2]!BexGetData("DP_1","00O2TNJGODT0K39D8MCMQPJYC","2000","2800")</f>
        <v>187983.17</v>
      </c>
      <c r="AK17" s="2">
        <f>[2]!BexGetData("DP_1","00O2TNJGODT0K39D8MCMQQLVO","2000","2800")</f>
        <v>340748.82</v>
      </c>
      <c r="AL17" s="2">
        <f>[2]!BexGetData("DP_1","00O2TNJGODT0K39D8MCMQRNT0","2000","2800")</f>
        <v>19685632.489999998</v>
      </c>
      <c r="AM17" s="2">
        <f>[2]!BexGetData("DP_1","00O2TNJGODT0K39D8MCMQSW1W","2000","2800")</f>
        <v>288870.15999999997</v>
      </c>
      <c r="AN17" s="2">
        <f>[2]!BexGetData("DP_1","00O2TNJGODT0K39D8MCMQT8P0","2000","2800")</f>
        <v>1926396.81</v>
      </c>
      <c r="AO17" s="2">
        <f>[2]!BexGetData("DP_1","00O2TNJGODT0K39D8MCMQUGXW","2000","2800")</f>
        <v>22429631.449999999</v>
      </c>
      <c r="AP17" s="6">
        <f>[2]!BexGetData("DP_1","00O2TNJGODT0K39D8MCMQUN9G","2000","2800")</f>
        <v>1126.6751643037701</v>
      </c>
      <c r="AQ17" s="6">
        <f>[2]!BexGetData("DP_1","00O2TNJGODT0K39D8MCMQUZWK","2000","2800")</f>
        <v>1126.6751643037701</v>
      </c>
      <c r="AR17" s="2">
        <f>[2]!BexGetData("DP_1","00O2TNJGODT0K39D8MCMQWR44","2000","2800")</f>
        <v>11406676.58</v>
      </c>
      <c r="AS17" s="16">
        <f>[2]!BexGetData("DP_1","00O2TNJGODT0K39D8MCMQXGEC","2000","2800")</f>
        <v>1.79747663538997</v>
      </c>
      <c r="AT17" s="2">
        <f>[2]!BexGetData("DP_1","00O2TNJGODT0K39D8MCMQXMPW","2000","2800")</f>
        <v>9096558.0600000005</v>
      </c>
      <c r="AU17" s="5">
        <f>[2]!BexGetData("DP_1","00O2TNJGODT0K39D8MCMQXT1G","2000","2800")</f>
        <v>0</v>
      </c>
    </row>
    <row r="18" spans="1:47" x14ac:dyDescent="0.2">
      <c r="A18" s="1" t="s">
        <v>12</v>
      </c>
      <c r="B18" s="1" t="s">
        <v>94</v>
      </c>
      <c r="C18" s="2">
        <f>[2]!BexGetData("DP_1","00O2TNJGODT0K39D8MCMQEUDG","2000","2900")</f>
        <v>10806358.060000001</v>
      </c>
      <c r="D18" s="3">
        <f>[2]!BexGetData("DP_1","00O2TNJGODT0K39D8MCMQF0P0","2000","2900")</f>
        <v>2387308.9900000002</v>
      </c>
      <c r="E18" s="3">
        <f>[2]!BexGetData("DP_1","00O2TNJGODT0K39D8MCMQF70K","2000","2900")</f>
        <v>3387454.9</v>
      </c>
      <c r="F18" s="3">
        <f>[2]!BexGetData("DP_1","00O2TNJGODT0K39D8MCMQFDC4","2000","2900")</f>
        <v>2747485.25</v>
      </c>
      <c r="G18" s="3">
        <f>[2]!BexGetData("DP_1","00O2TNJGODT0K39D8MCMQFJNO","2000","2900")</f>
        <v>2284108.92</v>
      </c>
      <c r="H18" s="2">
        <f>[2]!BexGetData("DP_1","00O2TNJGODT0K39D8MCMQGLL0","2000","2900")</f>
        <v>20077664.960000001</v>
      </c>
      <c r="I18" s="2">
        <f>[2]!BexGetData("DP_1","00O2TNJGODT0K39D8MCMQHNIC","2000","2900")</f>
        <v>-18476962.559999999</v>
      </c>
      <c r="J18" s="2">
        <f>[2]!BexGetData("DP_1","00O2TNJGODT0K3B5ZBNSUNZD9","2000","2900")</f>
        <v>1600702.4</v>
      </c>
      <c r="K18" s="2">
        <f>[2]!BexGetData("DP_1","00O2TNJGODT0K39D8MCMQHTTW","2000","2900")</f>
        <v>12407060.460000001</v>
      </c>
      <c r="L18" s="2">
        <f>[2]!BexGetData("DP_1","00O2TNJGODT0K39D8MCMQI05G","2000","2900")</f>
        <v>2369960.21</v>
      </c>
      <c r="M18" s="2">
        <f>[2]!BexGetData("DP_1","00O2TNJGODT0K39D8MCMQI6H0","2000","2900")</f>
        <v>3536894.89</v>
      </c>
      <c r="N18" s="2">
        <f>[2]!BexGetData("DP_1","00O2TNJGODT0K39D8MCMQICSK","2000","2900")</f>
        <v>2424682.38</v>
      </c>
      <c r="O18" s="2">
        <f>[2]!BexGetData("DP_1","00O2TNJGODT0K39D8MCMQIJ44","2000","2900")</f>
        <v>4075522.98</v>
      </c>
      <c r="P18" s="2">
        <f>[2]!BexGetData("DP_1","00O2TNJGODT0K39D8MCMQIVR8","2000","2900")</f>
        <v>13976.78</v>
      </c>
      <c r="Q18" s="2">
        <f>[2]!BexGetData("DP_1","00O2TNJGODT0K39D8MCMQJ22S","2000","2900")</f>
        <v>12393083.68</v>
      </c>
      <c r="R18" s="2">
        <f>[2]!BexGetData("DP_1","00O2TNJGODT0K39D8MCMQJRD0","2000","2900")</f>
        <v>12096861.43</v>
      </c>
      <c r="S18" s="2">
        <f>[2]!BexGetData("DP_1","00O2TNJGODT0K39D8MCMQLIKK","2000","2900")</f>
        <v>-12082884.65</v>
      </c>
      <c r="T18" s="2">
        <f>[2]!BexGetData("DP_1","00O2TNJGODT0K39D8MCMQLOW4","2000","2900")</f>
        <v>296222.25</v>
      </c>
      <c r="U18" s="2">
        <f>[2]!BexGetData("DP_1","00O2TNJGODT0K39D8MCMQJXOK","2000","2900")</f>
        <v>11891608.369999999</v>
      </c>
      <c r="V18" s="2">
        <f>[2]!BexGetData("DP_1","00O2TNJGODT0K39D8MCMQO5DW","2000","2900")</f>
        <v>871785.33</v>
      </c>
      <c r="W18" s="2">
        <f>[2]!BexGetData("DP_1","00O2TNJGODT0K39D8MCMQP7B8","2000","2900")</f>
        <v>3284777.11</v>
      </c>
      <c r="X18" s="2">
        <f>[2]!BexGetData("DP_1","00O2TNJGODT0K39D8MCMQQ98K","2000","2900")</f>
        <v>2538913.1</v>
      </c>
      <c r="Y18" s="2">
        <f>[2]!BexGetData("DP_1","00O2TNJGODT0K39D8MCMQRB5W","2000","2900")</f>
        <v>5196132.83</v>
      </c>
      <c r="Z18" s="2">
        <f>[2]!BexGetData("DP_1","00O2TNJGODT0K39D8MCMQSD38","2000","2900")</f>
        <v>205253.06</v>
      </c>
      <c r="AA18" s="2">
        <f>[2]!BexGetData("DP_1","00O2TNJGODT0K39D8MCMQSJES","2000","2900")</f>
        <v>515452.09</v>
      </c>
      <c r="AB18" s="2">
        <f>[2]!BexGetData("DP_1","00O2TNJGODT0K39D8MCMQKABO","2000","2900")</f>
        <v>11828071.779999999</v>
      </c>
      <c r="AC18" s="2">
        <f>[2]!BexGetData("DP_1","00O2TNJGODT0K39D8MCMQOBPG","2000","2900")</f>
        <v>779963.13</v>
      </c>
      <c r="AD18" s="2">
        <f>[2]!BexGetData("DP_1","00O2TNJGODT0K39D8MCMQPDMS","2000","2900")</f>
        <v>2127950.5</v>
      </c>
      <c r="AE18" s="2">
        <f>[2]!BexGetData("DP_1","00O2TNJGODT0K39D8MCMQQFK4","2000","2900")</f>
        <v>3303587.51</v>
      </c>
      <c r="AF18" s="2">
        <f>[2]!BexGetData("DP_1","00O2TNJGODT0K39D8MCMQRHHG","2000","2900")</f>
        <v>5616570.6399999997</v>
      </c>
      <c r="AG18" s="2">
        <f>[2]!BexGetData("DP_1","00O2TNJGODT0K39D8MCMQSPQC","2000","2900")</f>
        <v>63536.59</v>
      </c>
      <c r="AH18" s="2">
        <f>[2]!BexGetData("DP_1","00O2TNE7L9CBERF5UWFY00YGS","2000","2900")</f>
        <v>8789452.4499999993</v>
      </c>
      <c r="AI18" s="2">
        <f>[2]!BexGetData("DP_1","00O2TNJGODT0K39D8MCMQOI10","2000","2900")</f>
        <v>341196.3</v>
      </c>
      <c r="AJ18" s="2">
        <f>[2]!BexGetData("DP_1","00O2TNJGODT0K39D8MCMQPJYC","2000","2900")</f>
        <v>1925343.01</v>
      </c>
      <c r="AK18" s="2">
        <f>[2]!BexGetData("DP_1","00O2TNJGODT0K39D8MCMQQLVO","2000","2900")</f>
        <v>2665178.1800000002</v>
      </c>
      <c r="AL18" s="2">
        <f>[2]!BexGetData("DP_1","00O2TNJGODT0K39D8MCMQRNT0","2000","2900")</f>
        <v>3857734.96</v>
      </c>
      <c r="AM18" s="2">
        <f>[2]!BexGetData("DP_1","00O2TNJGODT0K39D8MCMQSW1W","2000","2900")</f>
        <v>3038619.33</v>
      </c>
      <c r="AN18" s="2">
        <f>[2]!BexGetData("DP_1","00O2TNJGODT0K39D8MCMQT8P0","2000","2900")</f>
        <v>515452.09</v>
      </c>
      <c r="AO18" s="2">
        <f>[2]!BexGetData("DP_1","00O2TNJGODT0K39D8MCMQUGXW","2000","2900")</f>
        <v>12407060.460000001</v>
      </c>
      <c r="AP18" s="6">
        <f>[2]!BexGetData("DP_1","00O2TNJGODT0K39D8MCMQUN9G","2000","2900")</f>
        <v>1.1004270174997299</v>
      </c>
      <c r="AQ18" s="6">
        <f>[2]!BexGetData("DP_1","00O2TNJGODT0K39D8MCMQUZWK","2000","2900")</f>
        <v>1.1004270174997299</v>
      </c>
      <c r="AR18" s="2">
        <f>[2]!BexGetData("DP_1","00O2TNJGODT0K39D8MCMQWR44","2000","2900")</f>
        <v>8334170.0300000003</v>
      </c>
      <c r="AS18" s="16">
        <f>[2]!BexGetData("DP_1","00O2TNJGODT0K39D8MCMQXGEC","2000","2900")</f>
        <v>1.4268497435490901</v>
      </c>
      <c r="AT18" s="2">
        <f>[2]!BexGetData("DP_1","00O2TNJGODT0K39D8MCMQXMPW","2000","2900")</f>
        <v>3557438.34</v>
      </c>
      <c r="AU18" s="5">
        <f>[2]!BexGetData("DP_1","00O2TNJGODT0K39D8MCMQXT1G","2000","2900")</f>
        <v>0</v>
      </c>
    </row>
    <row r="19" spans="1:47" x14ac:dyDescent="0.2">
      <c r="A19" s="1" t="s">
        <v>12</v>
      </c>
      <c r="B19" s="10" t="s">
        <v>88</v>
      </c>
      <c r="C19" s="11">
        <f>[2]!BexGetData("DP_1","00O2TNJGODT0K39D8MCMQEUDG","2000","SUMME")</f>
        <v>420426159.10000002</v>
      </c>
      <c r="D19" s="12">
        <f>[2]!BexGetData("DP_1","00O2TNJGODT0K39D8MCMQF0P0","2000","SUMME")</f>
        <v>101674451.94</v>
      </c>
      <c r="E19" s="12">
        <f>[2]!BexGetData("DP_1","00O2TNJGODT0K39D8MCMQF70K","2000","SUMME")</f>
        <v>123374667.12</v>
      </c>
      <c r="F19" s="12">
        <f>[2]!BexGetData("DP_1","00O2TNJGODT0K39D8MCMQFDC4","2000","SUMME")</f>
        <v>101269572.73</v>
      </c>
      <c r="G19" s="12">
        <f>[2]!BexGetData("DP_1","00O2TNJGODT0K39D8MCMQFJNO","2000","SUMME")</f>
        <v>94107467.310000002</v>
      </c>
      <c r="H19" s="11">
        <f>[2]!BexGetData("DP_1","00O2TNJGODT0K39D8MCMQGLL0","2000","SUMME")</f>
        <v>767053782.24000001</v>
      </c>
      <c r="I19" s="11">
        <f>[2]!BexGetData("DP_1","00O2TNJGODT0K39D8MCMQHNIC","2000","SUMME")</f>
        <v>-559710557.21000004</v>
      </c>
      <c r="J19" s="11">
        <f>[2]!BexGetData("DP_1","00O2TNJGODT0K3B5ZBNSUNZD9","2000","SUMME")</f>
        <v>207343225.03</v>
      </c>
      <c r="K19" s="11">
        <f>[2]!BexGetData("DP_1","00O2TNJGODT0K39D8MCMQHTTW","2000","SUMME")</f>
        <v>627769384.13</v>
      </c>
      <c r="L19" s="11">
        <f>[2]!BexGetData("DP_1","00O2TNJGODT0K39D8MCMQI05G","2000","SUMME")</f>
        <v>141359485.87</v>
      </c>
      <c r="M19" s="11">
        <f>[2]!BexGetData("DP_1","00O2TNJGODT0K39D8MCMQI6H0","2000","SUMME")</f>
        <v>182490867.59</v>
      </c>
      <c r="N19" s="11">
        <f>[2]!BexGetData("DP_1","00O2TNJGODT0K39D8MCMQICSK","2000","SUMME")</f>
        <v>126254749.37</v>
      </c>
      <c r="O19" s="11">
        <f>[2]!BexGetData("DP_1","00O2TNJGODT0K39D8MCMQIJ44","2000","SUMME")</f>
        <v>177664281.30000001</v>
      </c>
      <c r="P19" s="11">
        <f>[2]!BexGetData("DP_1","00O2TNJGODT0K39D8MCMQIVR8","2000","SUMME")</f>
        <v>393205.97</v>
      </c>
      <c r="Q19" s="11">
        <f>[2]!BexGetData("DP_1","00O2TNJGODT0K39D8MCMQJ22S","2000","SUMME")</f>
        <v>627376178.15999997</v>
      </c>
      <c r="R19" s="11">
        <f>[2]!BexGetData("DP_1","00O2TNJGODT0K39D8MCMQJRD0","2000","SUMME")</f>
        <v>625012541.53999996</v>
      </c>
      <c r="S19" s="11">
        <f>[2]!BexGetData("DP_1","00O2TNJGODT0K39D8MCMQLIKK","2000","SUMME")</f>
        <v>-624619335.57000005</v>
      </c>
      <c r="T19" s="11">
        <f>[2]!BexGetData("DP_1","00O2TNJGODT0K39D8MCMQLOW4","2000","SUMME")</f>
        <v>2363636.62</v>
      </c>
      <c r="U19" s="11">
        <f>[2]!BexGetData("DP_1","00O2TNJGODT0K39D8MCMQJXOK","2000","SUMME")</f>
        <v>621975930.57000005</v>
      </c>
      <c r="V19" s="11">
        <f>[2]!BexGetData("DP_1","00O2TNJGODT0K39D8MCMQO5DW","2000","SUMME")</f>
        <v>78892415.010000005</v>
      </c>
      <c r="W19" s="11">
        <f>[2]!BexGetData("DP_1","00O2TNJGODT0K39D8MCMQP7B8","2000","SUMME")</f>
        <v>118630345.88</v>
      </c>
      <c r="X19" s="11">
        <f>[2]!BexGetData("DP_1","00O2TNJGODT0K39D8MCMQQ98K","2000","SUMME")</f>
        <v>208152554.34999999</v>
      </c>
      <c r="Y19" s="11">
        <f>[2]!BexGetData("DP_1","00O2TNJGODT0K39D8MCMQRB5W","2000","SUMME")</f>
        <v>216300615.33000001</v>
      </c>
      <c r="Z19" s="11">
        <f>[2]!BexGetData("DP_1","00O2TNJGODT0K39D8MCMQSD38","2000","SUMME")</f>
        <v>3036610.97</v>
      </c>
      <c r="AA19" s="11">
        <f>[2]!BexGetData("DP_1","00O2TNJGODT0K39D8MCMQSJES","2000","SUMME")</f>
        <v>5793453.5599999996</v>
      </c>
      <c r="AB19" s="11">
        <f>[2]!BexGetData("DP_1","00O2TNJGODT0K39D8MCMQKABO","2000","SUMME")</f>
        <v>603927406.75</v>
      </c>
      <c r="AC19" s="11">
        <f>[2]!BexGetData("DP_1","00O2TNJGODT0K39D8MCMQOBPG","2000","SUMME")</f>
        <v>39637422.490000002</v>
      </c>
      <c r="AD19" s="11">
        <f>[2]!BexGetData("DP_1","00O2TNJGODT0K39D8MCMQPDMS","2000","SUMME")</f>
        <v>151360385.47999999</v>
      </c>
      <c r="AE19" s="11">
        <f>[2]!BexGetData("DP_1","00O2TNJGODT0K39D8MCMQQFK4","2000","SUMME")</f>
        <v>196521100.06</v>
      </c>
      <c r="AF19" s="11">
        <f>[2]!BexGetData("DP_1","00O2TNJGODT0K39D8MCMQRHHG","2000","SUMME")</f>
        <v>216408498.72</v>
      </c>
      <c r="AG19" s="11">
        <f>[2]!BexGetData("DP_1","00O2TNJGODT0K39D8MCMQSPQC","2000","SUMME")</f>
        <v>18048523.82</v>
      </c>
      <c r="AH19" s="11">
        <f>[2]!BexGetData("DP_1","00O2TNE7L9CBERF5UWFY00YGS","2000","SUMME")</f>
        <v>494382884.19</v>
      </c>
      <c r="AI19" s="11">
        <f>[2]!BexGetData("DP_1","00O2TNJGODT0K39D8MCMQOI10","2000","SUMME")</f>
        <v>28667541.34</v>
      </c>
      <c r="AJ19" s="11">
        <f>[2]!BexGetData("DP_1","00O2TNJGODT0K39D8MCMQPJYC","2000","SUMME")</f>
        <v>89016640.519999996</v>
      </c>
      <c r="AK19" s="11">
        <f>[2]!BexGetData("DP_1","00O2TNJGODT0K39D8MCMQQLVO","2000","SUMME")</f>
        <v>183397290.15000001</v>
      </c>
      <c r="AL19" s="11">
        <f>[2]!BexGetData("DP_1","00O2TNJGODT0K39D8MCMQRNT0","2000","SUMME")</f>
        <v>193301412.18000001</v>
      </c>
      <c r="AM19" s="11">
        <f>[2]!BexGetData("DP_1","00O2TNJGODT0K39D8MCMQSW1W","2000","SUMME")</f>
        <v>109544522.56</v>
      </c>
      <c r="AN19" s="11">
        <f>[2]!BexGetData("DP_1","00O2TNJGODT0K39D8MCMQT8P0","2000","SUMME")</f>
        <v>5793453.5599999996</v>
      </c>
      <c r="AO19" s="11">
        <f>[2]!BexGetData("DP_1","00O2TNJGODT0K39D8MCMQUGXW","2000","SUMME")</f>
        <v>627769384.13</v>
      </c>
      <c r="AP19" s="15">
        <f>[2]!BexGetData("DP_1","00O2TNJGODT0K39D8MCMQUN9G","2000","SUMME")</f>
        <v>1.47939398419322</v>
      </c>
      <c r="AQ19" s="15">
        <f>[2]!BexGetData("DP_1","00O2TNJGODT0K39D8MCMQUZWK","2000","SUMME")</f>
        <v>1.47939398419322</v>
      </c>
      <c r="AR19" s="11">
        <f>[2]!BexGetData("DP_1","00O2TNJGODT0K39D8MCMQWR44","2000","SUMME")</f>
        <v>796553203.16999996</v>
      </c>
      <c r="AS19" s="17">
        <f>[2]!BexGetData("DP_1","00O2TNJGODT0K39D8MCMQXGEC","2000","SUMME")</f>
        <v>0.78083413398472001</v>
      </c>
      <c r="AT19" s="11">
        <f>[2]!BexGetData("DP_1","00O2TNJGODT0K39D8MCMQXMPW","2000","SUMME")</f>
        <v>-174577272.59999999</v>
      </c>
      <c r="AU19" s="14">
        <f>[2]!BexGetData("DP_1","00O2TNJGODT0K39D8MCMQXT1G","2000","SUMME")</f>
        <v>0</v>
      </c>
    </row>
    <row r="20" spans="1:47" x14ac:dyDescent="0.2">
      <c r="A20" s="1" t="s">
        <v>15</v>
      </c>
      <c r="B20" s="1" t="s">
        <v>76</v>
      </c>
      <c r="C20" s="2">
        <f>[2]!BexGetData("DP_1","00O2TNJGODT0K39D8MCMQEUDG","3000","3100")</f>
        <v>440771840.80000001</v>
      </c>
      <c r="D20" s="3">
        <f>[2]!BexGetData("DP_1","00O2TNJGODT0K39D8MCMQF0P0","3000","3100")</f>
        <v>107267326.23999999</v>
      </c>
      <c r="E20" s="3">
        <f>[2]!BexGetData("DP_1","00O2TNJGODT0K39D8MCMQF70K","3000","3100")</f>
        <v>110600414.84999999</v>
      </c>
      <c r="F20" s="3">
        <f>[2]!BexGetData("DP_1","00O2TNJGODT0K39D8MCMQFDC4","3000","3100")</f>
        <v>112585266.95</v>
      </c>
      <c r="G20" s="3">
        <f>[2]!BexGetData("DP_1","00O2TNJGODT0K39D8MCMQFJNO","3000","3100")</f>
        <v>110318832.76000001</v>
      </c>
      <c r="H20" s="2">
        <f>[2]!BexGetData("DP_1","00O2TNJGODT0K39D8MCMQGLL0","3000","3100")</f>
        <v>351792971.72000003</v>
      </c>
      <c r="I20" s="2">
        <f>[2]!BexGetData("DP_1","00O2TNJGODT0K39D8MCMQHNIC","3000","3100")</f>
        <v>-554464278.24000001</v>
      </c>
      <c r="J20" s="2">
        <f>[2]!BexGetData("DP_1","00O2TNJGODT0K3B5ZBNSUNZD9","3000","3100")</f>
        <v>-202671306.52000001</v>
      </c>
      <c r="K20" s="2">
        <f>[2]!BexGetData("DP_1","00O2TNJGODT0K39D8MCMQHTTW","3000","3100")</f>
        <v>238100534.28</v>
      </c>
      <c r="L20" s="2">
        <f>[2]!BexGetData("DP_1","00O2TNJGODT0K39D8MCMQI05G","3000","3100")</f>
        <v>127658764.31</v>
      </c>
      <c r="M20" s="2">
        <f>[2]!BexGetData("DP_1","00O2TNJGODT0K39D8MCMQI6H0","3000","3100")</f>
        <v>124147323.20999999</v>
      </c>
      <c r="N20" s="2">
        <f>[2]!BexGetData("DP_1","00O2TNJGODT0K39D8MCMQICSK","3000","3100")</f>
        <v>152517397.43000001</v>
      </c>
      <c r="O20" s="2">
        <f>[2]!BexGetData("DP_1","00O2TNJGODT0K39D8MCMQIJ44","3000","3100")</f>
        <v>-166222950.66999999</v>
      </c>
      <c r="P20" s="2">
        <f>[2]!BexGetData("DP_1","00O2TNJGODT0K39D8MCMQIVR8","3000","3100")</f>
        <v>16278.18</v>
      </c>
      <c r="Q20" s="2">
        <f>[2]!BexGetData("DP_1","00O2TNJGODT0K39D8MCMQJ22S","3000","3100")</f>
        <v>238084256.09999999</v>
      </c>
      <c r="R20" s="2">
        <f>[2]!BexGetData("DP_1","00O2TNJGODT0K39D8MCMQJRD0","3000","3100")</f>
        <v>237457048.15000001</v>
      </c>
      <c r="S20" s="2">
        <f>[2]!BexGetData("DP_1","00O2TNJGODT0K39D8MCMQLIKK","3000","3100")</f>
        <v>-237440769.97</v>
      </c>
      <c r="T20" s="2">
        <f>[2]!BexGetData("DP_1","00O2TNJGODT0K39D8MCMQLOW4","3000","3100")</f>
        <v>627207.94999999995</v>
      </c>
      <c r="U20" s="2">
        <f>[2]!BexGetData("DP_1","00O2TNJGODT0K39D8MCMQJXOK","3000","3100")</f>
        <v>236911225.06999999</v>
      </c>
      <c r="V20" s="2">
        <f>[2]!BexGetData("DP_1","00O2TNJGODT0K39D8MCMQO5DW","3000","3100")</f>
        <v>24233655.309999999</v>
      </c>
      <c r="W20" s="2">
        <f>[2]!BexGetData("DP_1","00O2TNJGODT0K39D8MCMQP7B8","3000","3100")</f>
        <v>45278828.850000001</v>
      </c>
      <c r="X20" s="2">
        <f>[2]!BexGetData("DP_1","00O2TNJGODT0K39D8MCMQQ98K","3000","3100")</f>
        <v>74034125.75</v>
      </c>
      <c r="Y20" s="2">
        <f>[2]!BexGetData("DP_1","00O2TNJGODT0K39D8MCMQRB5W","3000","3100")</f>
        <v>93364615.159999996</v>
      </c>
      <c r="Z20" s="2">
        <f>[2]!BexGetData("DP_1","00O2TNJGODT0K39D8MCMQSD38","3000","3100")</f>
        <v>545823.07999999996</v>
      </c>
      <c r="AA20" s="2">
        <f>[2]!BexGetData("DP_1","00O2TNJGODT0K39D8MCMQSJES","3000","3100")</f>
        <v>1189309.21</v>
      </c>
      <c r="AB20" s="2">
        <f>[2]!BexGetData("DP_1","00O2TNJGODT0K39D8MCMQKABO","3000","3100")</f>
        <v>235332620.72</v>
      </c>
      <c r="AC20" s="2">
        <f>[2]!BexGetData("DP_1","00O2TNJGODT0K39D8MCMQOBPG","3000","3100")</f>
        <v>22872184.850000001</v>
      </c>
      <c r="AD20" s="2">
        <f>[2]!BexGetData("DP_1","00O2TNJGODT0K39D8MCMQPDMS","3000","3100")</f>
        <v>44933453.25</v>
      </c>
      <c r="AE20" s="2">
        <f>[2]!BexGetData("DP_1","00O2TNJGODT0K39D8MCMQQFK4","3000","3100")</f>
        <v>73236508.920000002</v>
      </c>
      <c r="AF20" s="2">
        <f>[2]!BexGetData("DP_1","00O2TNJGODT0K39D8MCMQRHHG","3000","3100")</f>
        <v>94290473.700000003</v>
      </c>
      <c r="AG20" s="2">
        <f>[2]!BexGetData("DP_1","00O2TNJGODT0K39D8MCMQSPQC","3000","3100")</f>
        <v>1578604.35</v>
      </c>
      <c r="AH20" s="2">
        <f>[2]!BexGetData("DP_1","00O2TNE7L9CBERF5UWFY00YGS","3000","3100")</f>
        <v>227605045.49000001</v>
      </c>
      <c r="AI20" s="2">
        <f>[2]!BexGetData("DP_1","00O2TNJGODT0K39D8MCMQOI10","3000","3100")</f>
        <v>22248183.93</v>
      </c>
      <c r="AJ20" s="2">
        <f>[2]!BexGetData("DP_1","00O2TNJGODT0K39D8MCMQPJYC","3000","3100")</f>
        <v>39184852.25</v>
      </c>
      <c r="AK20" s="2">
        <f>[2]!BexGetData("DP_1","00O2TNJGODT0K39D8MCMQQLVO","3000","3100")</f>
        <v>61379765.619999997</v>
      </c>
      <c r="AL20" s="2">
        <f>[2]!BexGetData("DP_1","00O2TNJGODT0K39D8MCMQRNT0","3000","3100")</f>
        <v>104792243.69</v>
      </c>
      <c r="AM20" s="2">
        <f>[2]!BexGetData("DP_1","00O2TNJGODT0K39D8MCMQSW1W","3000","3100")</f>
        <v>7727575.2300000004</v>
      </c>
      <c r="AN20" s="2">
        <f>[2]!BexGetData("DP_1","00O2TNJGODT0K39D8MCMQT8P0","3000","3100")</f>
        <v>1189309.21</v>
      </c>
      <c r="AO20" s="2">
        <f>[2]!BexGetData("DP_1","00O2TNJGODT0K39D8MCMQUGXW","3000","3100")</f>
        <v>238100534.28</v>
      </c>
      <c r="AP20" s="6">
        <f>[2]!BexGetData("DP_1","00O2TNJGODT0K39D8MCMQUN9G","3000","3100")</f>
        <v>0.53749174321119997</v>
      </c>
      <c r="AQ20" s="6">
        <f>[2]!BexGetData("DP_1","00O2TNJGODT0K39D8MCMQUZWK","3000","3100")</f>
        <v>0.53749174321119997</v>
      </c>
      <c r="AR20" s="2">
        <f>[2]!BexGetData("DP_1","00O2TNJGODT0K39D8MCMQWR44","3000","3100")</f>
        <v>462167887.51999998</v>
      </c>
      <c r="AS20" s="16">
        <f>[2]!BexGetData("DP_1","00O2TNJGODT0K39D8MCMQXGEC","3000","3100")</f>
        <v>0.51260858113979002</v>
      </c>
      <c r="AT20" s="2">
        <f>[2]!BexGetData("DP_1","00O2TNJGODT0K39D8MCMQXMPW","3000","3100")</f>
        <v>-225256662.44999999</v>
      </c>
      <c r="AU20" s="5">
        <f>[2]!BexGetData("DP_1","00O2TNJGODT0K39D8MCMQXT1G","3000","3100")</f>
        <v>0</v>
      </c>
    </row>
    <row r="21" spans="1:47" x14ac:dyDescent="0.2">
      <c r="A21" s="1" t="s">
        <v>12</v>
      </c>
      <c r="B21" s="1" t="s">
        <v>77</v>
      </c>
      <c r="C21" s="2">
        <f>[2]!BexGetData("DP_1","00O2TNJGODT0K39D8MCMQEUDG","3000","3200")</f>
        <v>155146540.00999999</v>
      </c>
      <c r="D21" s="3">
        <f>[2]!BexGetData("DP_1","00O2TNJGODT0K39D8MCMQF0P0","3000","3200")</f>
        <v>40888785.210000001</v>
      </c>
      <c r="E21" s="3">
        <f>[2]!BexGetData("DP_1","00O2TNJGODT0K39D8MCMQF70K","3000","3200")</f>
        <v>39961866</v>
      </c>
      <c r="F21" s="3">
        <f>[2]!BexGetData("DP_1","00O2TNJGODT0K39D8MCMQFDC4","3000","3200")</f>
        <v>38372641.219999999</v>
      </c>
      <c r="G21" s="3">
        <f>[2]!BexGetData("DP_1","00O2TNJGODT0K39D8MCMQFJNO","3000","3200")</f>
        <v>35923247.579999998</v>
      </c>
      <c r="H21" s="2">
        <f>[2]!BexGetData("DP_1","00O2TNJGODT0K39D8MCMQGLL0","3000","3200")</f>
        <v>500540414.39999998</v>
      </c>
      <c r="I21" s="2">
        <f>[2]!BexGetData("DP_1","00O2TNJGODT0K39D8MCMQHNIC","3000","3200")</f>
        <v>-382159719.69</v>
      </c>
      <c r="J21" s="2">
        <f>[2]!BexGetData("DP_1","00O2TNJGODT0K3B5ZBNSUNZD9","3000","3200")</f>
        <v>118380694.70999999</v>
      </c>
      <c r="K21" s="2">
        <f>[2]!BexGetData("DP_1","00O2TNJGODT0K39D8MCMQHTTW","3000","3200")</f>
        <v>273527234.72000003</v>
      </c>
      <c r="L21" s="2">
        <f>[2]!BexGetData("DP_1","00O2TNJGODT0K39D8MCMQI05G","3000","3200")</f>
        <v>43984356.670000002</v>
      </c>
      <c r="M21" s="2">
        <f>[2]!BexGetData("DP_1","00O2TNJGODT0K39D8MCMQI6H0","3000","3200")</f>
        <v>150786213.53999999</v>
      </c>
      <c r="N21" s="2">
        <f>[2]!BexGetData("DP_1","00O2TNJGODT0K39D8MCMQICSK","3000","3200")</f>
        <v>34073426.549999997</v>
      </c>
      <c r="O21" s="2">
        <f>[2]!BexGetData("DP_1","00O2TNJGODT0K39D8MCMQIJ44","3000","3200")</f>
        <v>44683237.960000001</v>
      </c>
      <c r="P21" s="2">
        <f>[2]!BexGetData("DP_1","00O2TNJGODT0K39D8MCMQIVR8","3000","3200")</f>
        <v>863913.81</v>
      </c>
      <c r="Q21" s="2">
        <f>[2]!BexGetData("DP_1","00O2TNJGODT0K39D8MCMQJ22S","3000","3200")</f>
        <v>272663320.91000003</v>
      </c>
      <c r="R21" s="2">
        <f>[2]!BexGetData("DP_1","00O2TNJGODT0K39D8MCMQJRD0","3000","3200")</f>
        <v>273386061.20999998</v>
      </c>
      <c r="S21" s="2">
        <f>[2]!BexGetData("DP_1","00O2TNJGODT0K39D8MCMQLIKK","3000","3200")</f>
        <v>-272522147.39999998</v>
      </c>
      <c r="T21" s="2">
        <f>[2]!BexGetData("DP_1","00O2TNJGODT0K39D8MCMQLOW4","3000","3200")</f>
        <v>-722740.3</v>
      </c>
      <c r="U21" s="2">
        <f>[2]!BexGetData("DP_1","00O2TNJGODT0K39D8MCMQJXOK","3000","3200")</f>
        <v>271919670.17000002</v>
      </c>
      <c r="V21" s="2">
        <f>[2]!BexGetData("DP_1","00O2TNJGODT0K39D8MCMQO5DW","3000","3200")</f>
        <v>20481925.93</v>
      </c>
      <c r="W21" s="2">
        <f>[2]!BexGetData("DP_1","00O2TNJGODT0K39D8MCMQP7B8","3000","3200")</f>
        <v>109893172.38</v>
      </c>
      <c r="X21" s="2">
        <f>[2]!BexGetData("DP_1","00O2TNJGODT0K39D8MCMQQ98K","3000","3200")</f>
        <v>63765648.75</v>
      </c>
      <c r="Y21" s="2">
        <f>[2]!BexGetData("DP_1","00O2TNJGODT0K39D8MCMQRB5W","3000","3200")</f>
        <v>77778923.109999999</v>
      </c>
      <c r="Z21" s="2">
        <f>[2]!BexGetData("DP_1","00O2TNJGODT0K39D8MCMQSD38","3000","3200")</f>
        <v>1466391.04</v>
      </c>
      <c r="AA21" s="2">
        <f>[2]!BexGetData("DP_1","00O2TNJGODT0K39D8MCMQSJES","3000","3200")</f>
        <v>1607564.55</v>
      </c>
      <c r="AB21" s="2">
        <f>[2]!BexGetData("DP_1","00O2TNJGODT0K39D8MCMQKABO","3000","3200")</f>
        <v>266038623.44999999</v>
      </c>
      <c r="AC21" s="2">
        <f>[2]!BexGetData("DP_1","00O2TNJGODT0K39D8MCMQOBPG","3000","3200")</f>
        <v>11147100.84</v>
      </c>
      <c r="AD21" s="2">
        <f>[2]!BexGetData("DP_1","00O2TNJGODT0K39D8MCMQPDMS","3000","3200")</f>
        <v>112618400.36</v>
      </c>
      <c r="AE21" s="2">
        <f>[2]!BexGetData("DP_1","00O2TNJGODT0K39D8MCMQQFK4","3000","3200")</f>
        <v>65739131.649999999</v>
      </c>
      <c r="AF21" s="2">
        <f>[2]!BexGetData("DP_1","00O2TNJGODT0K39D8MCMQRHHG","3000","3200")</f>
        <v>76533990.599999994</v>
      </c>
      <c r="AG21" s="2">
        <f>[2]!BexGetData("DP_1","00O2TNJGODT0K39D8MCMQSPQC","3000","3200")</f>
        <v>5881046.7199999997</v>
      </c>
      <c r="AH21" s="2">
        <f>[2]!BexGetData("DP_1","00O2TNE7L9CBERF5UWFY00YGS","3000","3200")</f>
        <v>227455750.22999999</v>
      </c>
      <c r="AI21" s="2">
        <f>[2]!BexGetData("DP_1","00O2TNJGODT0K39D8MCMQOI10","3000","3200")</f>
        <v>3067476.53</v>
      </c>
      <c r="AJ21" s="2">
        <f>[2]!BexGetData("DP_1","00O2TNJGODT0K39D8MCMQPJYC","3000","3200")</f>
        <v>89610059.75</v>
      </c>
      <c r="AK21" s="2">
        <f>[2]!BexGetData("DP_1","00O2TNJGODT0K39D8MCMQQLVO","3000","3200")</f>
        <v>58616700.18</v>
      </c>
      <c r="AL21" s="2">
        <f>[2]!BexGetData("DP_1","00O2TNJGODT0K39D8MCMQRNT0","3000","3200")</f>
        <v>76161513.769999996</v>
      </c>
      <c r="AM21" s="2">
        <f>[2]!BexGetData("DP_1","00O2TNJGODT0K39D8MCMQSW1W","3000","3200")</f>
        <v>38582873.219999999</v>
      </c>
      <c r="AN21" s="2">
        <f>[2]!BexGetData("DP_1","00O2TNJGODT0K39D8MCMQT8P0","3000","3200")</f>
        <v>1607564.55</v>
      </c>
      <c r="AO21" s="2">
        <f>[2]!BexGetData("DP_1","00O2TNJGODT0K39D8MCMQUGXW","3000","3200")</f>
        <v>273527234.72000003</v>
      </c>
      <c r="AP21" s="6">
        <f>[2]!BexGetData("DP_1","00O2TNJGODT0K39D8MCMQUN9G","3000","3200")</f>
        <v>1.75266345064784</v>
      </c>
      <c r="AQ21" s="6">
        <f>[2]!BexGetData("DP_1","00O2TNJGODT0K39D8MCMQUZWK","3000","3200")</f>
        <v>1.75266345064784</v>
      </c>
      <c r="AR21" s="2">
        <f>[2]!BexGetData("DP_1","00O2TNJGODT0K39D8MCMQWR44","3000","3200")</f>
        <v>268261560.02000001</v>
      </c>
      <c r="AS21" s="16">
        <f>[2]!BexGetData("DP_1","00O2TNJGODT0K39D8MCMQXGEC","3000","3200")</f>
        <v>1.01363635606133</v>
      </c>
      <c r="AT21" s="2">
        <f>[2]!BexGetData("DP_1","00O2TNJGODT0K39D8MCMQXMPW","3000","3200")</f>
        <v>3658110.15</v>
      </c>
      <c r="AU21" s="5">
        <f>[2]!BexGetData("DP_1","00O2TNJGODT0K39D8MCMQXT1G","3000","3200")</f>
        <v>0</v>
      </c>
    </row>
    <row r="22" spans="1:47" x14ac:dyDescent="0.2">
      <c r="A22" s="1" t="s">
        <v>12</v>
      </c>
      <c r="B22" s="1" t="s">
        <v>78</v>
      </c>
      <c r="C22" s="2">
        <f>[2]!BexGetData("DP_1","00O2TNJGODT0K39D8MCMQEUDG","3000","3300")</f>
        <v>327612766.64999998</v>
      </c>
      <c r="D22" s="3">
        <f>[2]!BexGetData("DP_1","00O2TNJGODT0K39D8MCMQF0P0","3000","3300")</f>
        <v>89380016.209999993</v>
      </c>
      <c r="E22" s="3">
        <f>[2]!BexGetData("DP_1","00O2TNJGODT0K39D8MCMQF70K","3000","3300")</f>
        <v>86708859.439999998</v>
      </c>
      <c r="F22" s="3">
        <f>[2]!BexGetData("DP_1","00O2TNJGODT0K39D8MCMQFDC4","3000","3300")</f>
        <v>77879040.189999998</v>
      </c>
      <c r="G22" s="3">
        <f>[2]!BexGetData("DP_1","00O2TNJGODT0K39D8MCMQFJNO","3000","3300")</f>
        <v>73644850.810000002</v>
      </c>
      <c r="H22" s="2">
        <f>[2]!BexGetData("DP_1","00O2TNJGODT0K39D8MCMQGLL0","3000","3300")</f>
        <v>942511800.67999995</v>
      </c>
      <c r="I22" s="2">
        <f>[2]!BexGetData("DP_1","00O2TNJGODT0K39D8MCMQHNIC","3000","3300")</f>
        <v>-619949558.74000001</v>
      </c>
      <c r="J22" s="2">
        <f>[2]!BexGetData("DP_1","00O2TNJGODT0K3B5ZBNSUNZD9","3000","3300")</f>
        <v>322562241.94</v>
      </c>
      <c r="K22" s="2">
        <f>[2]!BexGetData("DP_1","00O2TNJGODT0K39D8MCMQHTTW","3000","3300")</f>
        <v>650175008.59000003</v>
      </c>
      <c r="L22" s="2">
        <f>[2]!BexGetData("DP_1","00O2TNJGODT0K39D8MCMQI05G","3000","3300")</f>
        <v>85289693.810000002</v>
      </c>
      <c r="M22" s="2">
        <f>[2]!BexGetData("DP_1","00O2TNJGODT0K39D8MCMQI6H0","3000","3300")</f>
        <v>87344289.909999996</v>
      </c>
      <c r="N22" s="2">
        <f>[2]!BexGetData("DP_1","00O2TNJGODT0K39D8MCMQICSK","3000","3300")</f>
        <v>217657373.56</v>
      </c>
      <c r="O22" s="2">
        <f>[2]!BexGetData("DP_1","00O2TNJGODT0K39D8MCMQIJ44","3000","3300")</f>
        <v>259883651.31</v>
      </c>
      <c r="P22" s="2">
        <f>[2]!BexGetData("DP_1","00O2TNJGODT0K39D8MCMQIVR8","3000","3300")</f>
        <v>8506828.0999999996</v>
      </c>
      <c r="Q22" s="2">
        <f>[2]!BexGetData("DP_1","00O2TNJGODT0K39D8MCMQJ22S","3000","3300")</f>
        <v>641668180.49000001</v>
      </c>
      <c r="R22" s="2">
        <f>[2]!BexGetData("DP_1","00O2TNJGODT0K39D8MCMQJRD0","3000","3300")</f>
        <v>645922651.19000006</v>
      </c>
      <c r="S22" s="2">
        <f>[2]!BexGetData("DP_1","00O2TNJGODT0K39D8MCMQLIKK","3000","3300")</f>
        <v>-637415823.09000003</v>
      </c>
      <c r="T22" s="2">
        <f>[2]!BexGetData("DP_1","00O2TNJGODT0K39D8MCMQLOW4","3000","3300")</f>
        <v>-4254470.7</v>
      </c>
      <c r="U22" s="2">
        <f>[2]!BexGetData("DP_1","00O2TNJGODT0K39D8MCMQJXOK","3000","3300")</f>
        <v>636604307.61000001</v>
      </c>
      <c r="V22" s="2">
        <f>[2]!BexGetData("DP_1","00O2TNJGODT0K39D8MCMQO5DW","3000","3300")</f>
        <v>25495119.449999999</v>
      </c>
      <c r="W22" s="2">
        <f>[2]!BexGetData("DP_1","00O2TNJGODT0K39D8MCMQP7B8","3000","3300")</f>
        <v>131042598.92</v>
      </c>
      <c r="X22" s="2">
        <f>[2]!BexGetData("DP_1","00O2TNJGODT0K39D8MCMQQ98K","3000","3300")</f>
        <v>175388409.99000001</v>
      </c>
      <c r="Y22" s="2">
        <f>[2]!BexGetData("DP_1","00O2TNJGODT0K39D8MCMQRB5W","3000","3300")</f>
        <v>304678179.25</v>
      </c>
      <c r="Z22" s="2">
        <f>[2]!BexGetData("DP_1","00O2TNJGODT0K39D8MCMQSD38","3000","3300")</f>
        <v>9318343.5800000001</v>
      </c>
      <c r="AA22" s="2">
        <f>[2]!BexGetData("DP_1","00O2TNJGODT0K39D8MCMQSJES","3000","3300")</f>
        <v>13570700.98</v>
      </c>
      <c r="AB22" s="2">
        <f>[2]!BexGetData("DP_1","00O2TNJGODT0K39D8MCMQKABO","3000","3300")</f>
        <v>478960112.38</v>
      </c>
      <c r="AC22" s="2">
        <f>[2]!BexGetData("DP_1","00O2TNJGODT0K39D8MCMQOBPG","3000","3300")</f>
        <v>18263007.940000001</v>
      </c>
      <c r="AD22" s="2">
        <f>[2]!BexGetData("DP_1","00O2TNJGODT0K39D8MCMQPDMS","3000","3300")</f>
        <v>102903340.59999999</v>
      </c>
      <c r="AE22" s="2">
        <f>[2]!BexGetData("DP_1","00O2TNJGODT0K39D8MCMQQFK4","3000","3300")</f>
        <v>145299261.62</v>
      </c>
      <c r="AF22" s="2">
        <f>[2]!BexGetData("DP_1","00O2TNJGODT0K39D8MCMQRHHG","3000","3300")</f>
        <v>212494502.22</v>
      </c>
      <c r="AG22" s="2">
        <f>[2]!BexGetData("DP_1","00O2TNJGODT0K39D8MCMQSPQC","3000","3300")</f>
        <v>157644195.22999999</v>
      </c>
      <c r="AH22" s="2">
        <f>[2]!BexGetData("DP_1","00O2TNE7L9CBERF5UWFY00YGS","3000","3300")</f>
        <v>373237312.38999999</v>
      </c>
      <c r="AI22" s="2">
        <f>[2]!BexGetData("DP_1","00O2TNJGODT0K39D8MCMQOI10","3000","3300")</f>
        <v>12947518.619999999</v>
      </c>
      <c r="AJ22" s="2">
        <f>[2]!BexGetData("DP_1","00O2TNJGODT0K39D8MCMQPJYC","3000","3300")</f>
        <v>42563237.920000002</v>
      </c>
      <c r="AK22" s="2">
        <f>[2]!BexGetData("DP_1","00O2TNJGODT0K39D8MCMQQLVO","3000","3300")</f>
        <v>162681266.50999999</v>
      </c>
      <c r="AL22" s="2">
        <f>[2]!BexGetData("DP_1","00O2TNJGODT0K39D8MCMQRNT0","3000","3300")</f>
        <v>155045289.34</v>
      </c>
      <c r="AM22" s="2">
        <f>[2]!BexGetData("DP_1","00O2TNJGODT0K39D8MCMQSW1W","3000","3300")</f>
        <v>105722799.98999999</v>
      </c>
      <c r="AN22" s="2">
        <f>[2]!BexGetData("DP_1","00O2TNJGODT0K39D8MCMQT8P0","3000","3300")</f>
        <v>13570700.98</v>
      </c>
      <c r="AO22" s="2">
        <f>[2]!BexGetData("DP_1","00O2TNJGODT0K39D8MCMQUGXW","3000","3300")</f>
        <v>650175008.59000003</v>
      </c>
      <c r="AP22" s="6">
        <f>[2]!BexGetData("DP_1","00O2TNJGODT0K39D8MCMQUN9G","3000","3300")</f>
        <v>1.94316086677448</v>
      </c>
      <c r="AQ22" s="6">
        <f>[2]!BexGetData("DP_1","00O2TNJGODT0K39D8MCMQUZWK","3000","3300")</f>
        <v>1.94316086677448</v>
      </c>
      <c r="AR22" s="2">
        <f>[2]!BexGetData("DP_1","00O2TNJGODT0K39D8MCMQWR44","3000","3300")</f>
        <v>872863114.44000006</v>
      </c>
      <c r="AS22" s="16">
        <f>[2]!BexGetData("DP_1","00O2TNJGODT0K39D8MCMQXGEC","3000","3300")</f>
        <v>0.72932891432629998</v>
      </c>
      <c r="AT22" s="2">
        <f>[2]!BexGetData("DP_1","00O2TNJGODT0K39D8MCMQXMPW","3000","3300")</f>
        <v>-236258806.83000001</v>
      </c>
      <c r="AU22" s="5">
        <f>[2]!BexGetData("DP_1","00O2TNJGODT0K39D8MCMQXT1G","3000","3300")</f>
        <v>0</v>
      </c>
    </row>
    <row r="23" spans="1:47" x14ac:dyDescent="0.2">
      <c r="A23" s="1" t="s">
        <v>12</v>
      </c>
      <c r="B23" s="1" t="s">
        <v>79</v>
      </c>
      <c r="C23" s="2">
        <f>[2]!BexGetData("DP_1","00O2TNJGODT0K39D8MCMQEUDG","3000","3400")</f>
        <v>63587832.770000003</v>
      </c>
      <c r="D23" s="3">
        <f>[2]!BexGetData("DP_1","00O2TNJGODT0K39D8MCMQF0P0","3000","3400")</f>
        <v>16503566.289999999</v>
      </c>
      <c r="E23" s="3">
        <f>[2]!BexGetData("DP_1","00O2TNJGODT0K39D8MCMQF70K","3000","3400")</f>
        <v>16340335.85</v>
      </c>
      <c r="F23" s="3">
        <f>[2]!BexGetData("DP_1","00O2TNJGODT0K39D8MCMQFDC4","3000","3400")</f>
        <v>15390730.449999999</v>
      </c>
      <c r="G23" s="3">
        <f>[2]!BexGetData("DP_1","00O2TNJGODT0K39D8MCMQFJNO","3000","3400")</f>
        <v>15353200.18</v>
      </c>
      <c r="H23" s="2">
        <f>[2]!BexGetData("DP_1","00O2TNJGODT0K39D8MCMQGLL0","3000","3400")</f>
        <v>41764494.700000003</v>
      </c>
      <c r="I23" s="2">
        <f>[2]!BexGetData("DP_1","00O2TNJGODT0K39D8MCMQHNIC","3000","3400")</f>
        <v>-58625308.090000004</v>
      </c>
      <c r="J23" s="2">
        <f>[2]!BexGetData("DP_1","00O2TNJGODT0K3B5ZBNSUNZD9","3000","3400")</f>
        <v>-16860813.390000001</v>
      </c>
      <c r="K23" s="2">
        <f>[2]!BexGetData("DP_1","00O2TNJGODT0K39D8MCMQHTTW","3000","3400")</f>
        <v>46727019.380000003</v>
      </c>
      <c r="L23" s="2">
        <f>[2]!BexGetData("DP_1","00O2TNJGODT0K39D8MCMQI05G","3000","3400")</f>
        <v>15506205.689999999</v>
      </c>
      <c r="M23" s="2">
        <f>[2]!BexGetData("DP_1","00O2TNJGODT0K39D8MCMQI6H0","3000","3400")</f>
        <v>7269008.5300000003</v>
      </c>
      <c r="N23" s="2">
        <f>[2]!BexGetData("DP_1","00O2TNJGODT0K39D8MCMQICSK","3000","3400")</f>
        <v>9667026.5600000005</v>
      </c>
      <c r="O23" s="2">
        <f>[2]!BexGetData("DP_1","00O2TNJGODT0K39D8MCMQIJ44","3000","3400")</f>
        <v>14284778.6</v>
      </c>
      <c r="P23" s="2">
        <f>[2]!BexGetData("DP_1","00O2TNJGODT0K39D8MCMQIVR8","3000","3400")</f>
        <v>311557.76000000001</v>
      </c>
      <c r="Q23" s="2">
        <f>[2]!BexGetData("DP_1","00O2TNJGODT0K39D8MCMQJ22S","3000","3400")</f>
        <v>46415461.619999997</v>
      </c>
      <c r="R23" s="2">
        <f>[2]!BexGetData("DP_1","00O2TNJGODT0K39D8MCMQJRD0","3000","3400")</f>
        <v>46682626.43</v>
      </c>
      <c r="S23" s="2">
        <f>[2]!BexGetData("DP_1","00O2TNJGODT0K39D8MCMQLIKK","3000","3400")</f>
        <v>-46371068.670000002</v>
      </c>
      <c r="T23" s="2">
        <f>[2]!BexGetData("DP_1","00O2TNJGODT0K39D8MCMQLOW4","3000","3400")</f>
        <v>-267164.81</v>
      </c>
      <c r="U23" s="2">
        <f>[2]!BexGetData("DP_1","00O2TNJGODT0K39D8MCMQJXOK","3000","3400")</f>
        <v>43190897.829999998</v>
      </c>
      <c r="V23" s="2">
        <f>[2]!BexGetData("DP_1","00O2TNJGODT0K39D8MCMQO5DW","3000","3400")</f>
        <v>11036925.02</v>
      </c>
      <c r="W23" s="2">
        <f>[2]!BexGetData("DP_1","00O2TNJGODT0K39D8MCMQP7B8","3000","3400")</f>
        <v>20052391.129999999</v>
      </c>
      <c r="X23" s="2">
        <f>[2]!BexGetData("DP_1","00O2TNJGODT0K39D8MCMQQ98K","3000","3400")</f>
        <v>7402560.4299999997</v>
      </c>
      <c r="Y23" s="2">
        <f>[2]!BexGetData("DP_1","00O2TNJGODT0K39D8MCMQRB5W","3000","3400")</f>
        <v>4699021.25</v>
      </c>
      <c r="Z23" s="2">
        <f>[2]!BexGetData("DP_1","00O2TNJGODT0K39D8MCMQSD38","3000","3400")</f>
        <v>3491728.6</v>
      </c>
      <c r="AA23" s="2">
        <f>[2]!BexGetData("DP_1","00O2TNJGODT0K39D8MCMQSJES","3000","3400")</f>
        <v>3536121.55</v>
      </c>
      <c r="AB23" s="2">
        <f>[2]!BexGetData("DP_1","00O2TNJGODT0K39D8MCMQKABO","3000","3400")</f>
        <v>43160316</v>
      </c>
      <c r="AC23" s="2">
        <f>[2]!BexGetData("DP_1","00O2TNJGODT0K39D8MCMQOBPG","3000","3400")</f>
        <v>10875783.710000001</v>
      </c>
      <c r="AD23" s="2">
        <f>[2]!BexGetData("DP_1","00O2TNJGODT0K39D8MCMQPDMS","3000","3400")</f>
        <v>19174664.649999999</v>
      </c>
      <c r="AE23" s="2">
        <f>[2]!BexGetData("DP_1","00O2TNJGODT0K39D8MCMQQFK4","3000","3400")</f>
        <v>7856229.0899999999</v>
      </c>
      <c r="AF23" s="2">
        <f>[2]!BexGetData("DP_1","00O2TNJGODT0K39D8MCMQRHHG","3000","3400")</f>
        <v>5253638.55</v>
      </c>
      <c r="AG23" s="2">
        <f>[2]!BexGetData("DP_1","00O2TNJGODT0K39D8MCMQSPQC","3000","3400")</f>
        <v>30581.83</v>
      </c>
      <c r="AH23" s="2">
        <f>[2]!BexGetData("DP_1","00O2TNE7L9CBERF5UWFY00YGS","3000","3400")</f>
        <v>42183705.969999999</v>
      </c>
      <c r="AI23" s="2">
        <f>[2]!BexGetData("DP_1","00O2TNJGODT0K39D8MCMQOI10","3000","3400")</f>
        <v>10019718.9</v>
      </c>
      <c r="AJ23" s="2">
        <f>[2]!BexGetData("DP_1","00O2TNJGODT0K39D8MCMQPJYC","3000","3400")</f>
        <v>18469530.84</v>
      </c>
      <c r="AK23" s="2">
        <f>[2]!BexGetData("DP_1","00O2TNJGODT0K39D8MCMQQLVO","3000","3400")</f>
        <v>7937666.5800000001</v>
      </c>
      <c r="AL23" s="2">
        <f>[2]!BexGetData("DP_1","00O2TNJGODT0K39D8MCMQRNT0","3000","3400")</f>
        <v>5756789.6500000004</v>
      </c>
      <c r="AM23" s="2">
        <f>[2]!BexGetData("DP_1","00O2TNJGODT0K39D8MCMQSW1W","3000","3400")</f>
        <v>976610.03</v>
      </c>
      <c r="AN23" s="2">
        <f>[2]!BexGetData("DP_1","00O2TNJGODT0K39D8MCMQT8P0","3000","3400")</f>
        <v>3536121.55</v>
      </c>
      <c r="AO23" s="2">
        <f>[2]!BexGetData("DP_1","00O2TNJGODT0K39D8MCMQUGXW","3000","3400")</f>
        <v>46727019.380000003</v>
      </c>
      <c r="AP23" s="6">
        <f>[2]!BexGetData("DP_1","00O2TNJGODT0K39D8MCMQUN9G","3000","3400")</f>
        <v>0.67923211011489004</v>
      </c>
      <c r="AQ23" s="6">
        <f>[2]!BexGetData("DP_1","00O2TNJGODT0K39D8MCMQUZWK","3000","3400")</f>
        <v>0.67923211011489004</v>
      </c>
      <c r="AR23" s="2">
        <f>[2]!BexGetData("DP_1","00O2TNJGODT0K39D8MCMQWR44","3000","3400")</f>
        <v>47929039.659999996</v>
      </c>
      <c r="AS23" s="16">
        <f>[2]!BexGetData("DP_1","00O2TNJGODT0K39D8MCMQXGEC","3000","3400")</f>
        <v>0.90114256693620998</v>
      </c>
      <c r="AT23" s="2">
        <f>[2]!BexGetData("DP_1","00O2TNJGODT0K39D8MCMQXMPW","3000","3400")</f>
        <v>-4738141.83</v>
      </c>
      <c r="AU23" s="5">
        <f>[2]!BexGetData("DP_1","00O2TNJGODT0K39D8MCMQXT1G","3000","3400")</f>
        <v>0</v>
      </c>
    </row>
    <row r="24" spans="1:47" x14ac:dyDescent="0.2">
      <c r="A24" s="1" t="s">
        <v>12</v>
      </c>
      <c r="B24" s="1" t="s">
        <v>80</v>
      </c>
      <c r="C24" s="2">
        <f>[2]!BexGetData("DP_1","00O2TNJGODT0K39D8MCMQEUDG","3000","3500")</f>
        <v>142665989.03</v>
      </c>
      <c r="D24" s="3">
        <f>[2]!BexGetData("DP_1","00O2TNJGODT0K39D8MCMQF0P0","3000","3500")</f>
        <v>37173148.460000001</v>
      </c>
      <c r="E24" s="3">
        <f>[2]!BexGetData("DP_1","00O2TNJGODT0K39D8MCMQF70K","3000","3500")</f>
        <v>38674390.770000003</v>
      </c>
      <c r="F24" s="3">
        <f>[2]!BexGetData("DP_1","00O2TNJGODT0K39D8MCMQFDC4","3000","3500")</f>
        <v>35638579.75</v>
      </c>
      <c r="G24" s="3">
        <f>[2]!BexGetData("DP_1","00O2TNJGODT0K39D8MCMQFJNO","3000","3500")</f>
        <v>31179870.050000001</v>
      </c>
      <c r="H24" s="2">
        <f>[2]!BexGetData("DP_1","00O2TNJGODT0K39D8MCMQGLL0","3000","3500")</f>
        <v>603971572.22000003</v>
      </c>
      <c r="I24" s="2">
        <f>[2]!BexGetData("DP_1","00O2TNJGODT0K39D8MCMQHNIC","3000","3500")</f>
        <v>-323994644.81999999</v>
      </c>
      <c r="J24" s="2">
        <f>[2]!BexGetData("DP_1","00O2TNJGODT0K3B5ZBNSUNZD9","3000","3500")</f>
        <v>279976927.39999998</v>
      </c>
      <c r="K24" s="2">
        <f>[2]!BexGetData("DP_1","00O2TNJGODT0K39D8MCMQHTTW","3000","3500")</f>
        <v>422642916.43000001</v>
      </c>
      <c r="L24" s="2">
        <f>[2]!BexGetData("DP_1","00O2TNJGODT0K39D8MCMQI05G","3000","3500")</f>
        <v>91767553.189999998</v>
      </c>
      <c r="M24" s="2">
        <f>[2]!BexGetData("DP_1","00O2TNJGODT0K39D8MCMQI6H0","3000","3500")</f>
        <v>89319066.640000001</v>
      </c>
      <c r="N24" s="2">
        <f>[2]!BexGetData("DP_1","00O2TNJGODT0K39D8MCMQICSK","3000","3500")</f>
        <v>102991913.23999999</v>
      </c>
      <c r="O24" s="2">
        <f>[2]!BexGetData("DP_1","00O2TNJGODT0K39D8MCMQIJ44","3000","3500")</f>
        <v>138564383.36000001</v>
      </c>
      <c r="P24" s="2">
        <f>[2]!BexGetData("DP_1","00O2TNJGODT0K39D8MCMQIVR8","3000","3500")</f>
        <v>1016415.79</v>
      </c>
      <c r="Q24" s="2">
        <f>[2]!BexGetData("DP_1","00O2TNJGODT0K39D8MCMQJ22S","3000","3500")</f>
        <v>421626500.63999999</v>
      </c>
      <c r="R24" s="2">
        <f>[2]!BexGetData("DP_1","00O2TNJGODT0K39D8MCMQJRD0","3000","3500")</f>
        <v>418901922.75</v>
      </c>
      <c r="S24" s="2">
        <f>[2]!BexGetData("DP_1","00O2TNJGODT0K39D8MCMQLIKK","3000","3500")</f>
        <v>-417885506.95999998</v>
      </c>
      <c r="T24" s="2">
        <f>[2]!BexGetData("DP_1","00O2TNJGODT0K39D8MCMQLOW4","3000","3500")</f>
        <v>2724577.89</v>
      </c>
      <c r="U24" s="2">
        <f>[2]!BexGetData("DP_1","00O2TNJGODT0K39D8MCMQJXOK","3000","3500")</f>
        <v>416754019.04000002</v>
      </c>
      <c r="V24" s="2">
        <f>[2]!BexGetData("DP_1","00O2TNJGODT0K39D8MCMQO5DW","3000","3500")</f>
        <v>72796918.120000005</v>
      </c>
      <c r="W24" s="2">
        <f>[2]!BexGetData("DP_1","00O2TNJGODT0K39D8MCMQP7B8","3000","3500")</f>
        <v>72665347.340000004</v>
      </c>
      <c r="X24" s="2">
        <f>[2]!BexGetData("DP_1","00O2TNJGODT0K39D8MCMQQ98K","3000","3500")</f>
        <v>108836144.48</v>
      </c>
      <c r="Y24" s="2">
        <f>[2]!BexGetData("DP_1","00O2TNJGODT0K39D8MCMQRB5W","3000","3500")</f>
        <v>162455609.09999999</v>
      </c>
      <c r="Z24" s="2">
        <f>[2]!BexGetData("DP_1","00O2TNJGODT0K39D8MCMQSD38","3000","3500")</f>
        <v>2147903.71</v>
      </c>
      <c r="AA24" s="2">
        <f>[2]!BexGetData("DP_1","00O2TNJGODT0K39D8MCMQSJES","3000","3500")</f>
        <v>5888897.3899999997</v>
      </c>
      <c r="AB24" s="2">
        <f>[2]!BexGetData("DP_1","00O2TNJGODT0K39D8MCMQKABO","3000","3500")</f>
        <v>410691967.29000002</v>
      </c>
      <c r="AC24" s="2">
        <f>[2]!BexGetData("DP_1","00O2TNJGODT0K39D8MCMQOBPG","3000","3500")</f>
        <v>66061122.859999999</v>
      </c>
      <c r="AD24" s="2">
        <f>[2]!BexGetData("DP_1","00O2TNJGODT0K39D8MCMQPDMS","3000","3500")</f>
        <v>71884902.599999994</v>
      </c>
      <c r="AE24" s="2">
        <f>[2]!BexGetData("DP_1","00O2TNJGODT0K39D8MCMQQFK4","3000","3500")</f>
        <v>105916812.98999999</v>
      </c>
      <c r="AF24" s="2">
        <f>[2]!BexGetData("DP_1","00O2TNJGODT0K39D8MCMQRHHG","3000","3500")</f>
        <v>166829128.84</v>
      </c>
      <c r="AG24" s="2">
        <f>[2]!BexGetData("DP_1","00O2TNJGODT0K39D8MCMQSPQC","3000","3500")</f>
        <v>6062051.75</v>
      </c>
      <c r="AH24" s="2">
        <f>[2]!BexGetData("DP_1","00O2TNE7L9CBERF5UWFY00YGS","3000","3500")</f>
        <v>365823998.48000002</v>
      </c>
      <c r="AI24" s="2">
        <f>[2]!BexGetData("DP_1","00O2TNJGODT0K39D8MCMQOI10","3000","3500")</f>
        <v>60863924.490000002</v>
      </c>
      <c r="AJ24" s="2">
        <f>[2]!BexGetData("DP_1","00O2TNJGODT0K39D8MCMQPJYC","3000","3500")</f>
        <v>61274851.340000004</v>
      </c>
      <c r="AK24" s="2">
        <f>[2]!BexGetData("DP_1","00O2TNJGODT0K39D8MCMQQLVO","3000","3500")</f>
        <v>88779416.739999995</v>
      </c>
      <c r="AL24" s="2">
        <f>[2]!BexGetData("DP_1","00O2TNJGODT0K39D8MCMQRNT0","3000","3500")</f>
        <v>154905805.91</v>
      </c>
      <c r="AM24" s="2">
        <f>[2]!BexGetData("DP_1","00O2TNJGODT0K39D8MCMQSW1W","3000","3500")</f>
        <v>44867968.810000002</v>
      </c>
      <c r="AN24" s="2">
        <f>[2]!BexGetData("DP_1","00O2TNJGODT0K39D8MCMQT8P0","3000","3500")</f>
        <v>5888897.3899999997</v>
      </c>
      <c r="AO24" s="2">
        <f>[2]!BexGetData("DP_1","00O2TNJGODT0K39D8MCMQUGXW","3000","3500")</f>
        <v>422642916.43000001</v>
      </c>
      <c r="AP24" s="6">
        <f>[2]!BexGetData("DP_1","00O2TNJGODT0K39D8MCMQUN9G","3000","3500")</f>
        <v>2.92118690567774</v>
      </c>
      <c r="AQ24" s="6">
        <f>[2]!BexGetData("DP_1","00O2TNJGODT0K39D8MCMQUZWK","3000","3500")</f>
        <v>2.92118690567774</v>
      </c>
      <c r="AR24" s="2">
        <f>[2]!BexGetData("DP_1","00O2TNJGODT0K39D8MCMQWR44","3000","3500")</f>
        <v>337192073.31999999</v>
      </c>
      <c r="AS24" s="16">
        <f>[2]!BexGetData("DP_1","00O2TNJGODT0K39D8MCMQXGEC","3000","3500")</f>
        <v>1.23595437738685</v>
      </c>
      <c r="AT24" s="2">
        <f>[2]!BexGetData("DP_1","00O2TNJGODT0K39D8MCMQXMPW","3000","3500")</f>
        <v>79561945.719999999</v>
      </c>
      <c r="AU24" s="5">
        <f>[2]!BexGetData("DP_1","00O2TNJGODT0K39D8MCMQXT1G","3000","3500")</f>
        <v>0</v>
      </c>
    </row>
    <row r="25" spans="1:47" x14ac:dyDescent="0.2">
      <c r="A25" s="1" t="s">
        <v>12</v>
      </c>
      <c r="B25" s="1" t="s">
        <v>95</v>
      </c>
      <c r="C25" s="2">
        <f>[2]!BexGetData("DP_1","00O2TNJGODT0K39D8MCMQEUDG","3000","3600")</f>
        <v>83765499.659999996</v>
      </c>
      <c r="D25" s="3">
        <f>[2]!BexGetData("DP_1","00O2TNJGODT0K39D8MCMQF0P0","3000","3600")</f>
        <v>21820822.600000001</v>
      </c>
      <c r="E25" s="3">
        <f>[2]!BexGetData("DP_1","00O2TNJGODT0K39D8MCMQF70K","3000","3600")</f>
        <v>20963812</v>
      </c>
      <c r="F25" s="3">
        <f>[2]!BexGetData("DP_1","00O2TNJGODT0K39D8MCMQFDC4","3000","3600")</f>
        <v>21055376.399999999</v>
      </c>
      <c r="G25" s="3">
        <f>[2]!BexGetData("DP_1","00O2TNJGODT0K39D8MCMQFJNO","3000","3600")</f>
        <v>19925488.66</v>
      </c>
      <c r="H25" s="2">
        <f>[2]!BexGetData("DP_1","00O2TNJGODT0K39D8MCMQGLL0","3000","3600")</f>
        <v>148708670.05000001</v>
      </c>
      <c r="I25" s="2">
        <f>[2]!BexGetData("DP_1","00O2TNJGODT0K39D8MCMQHNIC","3000","3600")</f>
        <v>-51234941.909999996</v>
      </c>
      <c r="J25" s="2">
        <f>[2]!BexGetData("DP_1","00O2TNJGODT0K3B5ZBNSUNZD9","3000","3600")</f>
        <v>97473728.140000001</v>
      </c>
      <c r="K25" s="2">
        <f>[2]!BexGetData("DP_1","00O2TNJGODT0K39D8MCMQHTTW","3000","3600")</f>
        <v>181239227.80000001</v>
      </c>
      <c r="L25" s="2">
        <f>[2]!BexGetData("DP_1","00O2TNJGODT0K39D8MCMQI05G","3000","3600")</f>
        <v>40095519.850000001</v>
      </c>
      <c r="M25" s="2">
        <f>[2]!BexGetData("DP_1","00O2TNJGODT0K39D8MCMQI6H0","3000","3600")</f>
        <v>23828271.870000001</v>
      </c>
      <c r="N25" s="2">
        <f>[2]!BexGetData("DP_1","00O2TNJGODT0K39D8MCMQICSK","3000","3600")</f>
        <v>39352293.219999999</v>
      </c>
      <c r="O25" s="2">
        <f>[2]!BexGetData("DP_1","00O2TNJGODT0K39D8MCMQIJ44","3000","3600")</f>
        <v>77963142.859999999</v>
      </c>
      <c r="P25" s="2">
        <f>[2]!BexGetData("DP_1","00O2TNJGODT0K39D8MCMQIVR8","3000","3600")</f>
        <v>150005.92000000001</v>
      </c>
      <c r="Q25" s="2">
        <f>[2]!BexGetData("DP_1","00O2TNJGODT0K39D8MCMQJ22S","3000","3600")</f>
        <v>181089221.88</v>
      </c>
      <c r="R25" s="2">
        <f>[2]!BexGetData("DP_1","00O2TNJGODT0K39D8MCMQJRD0","3000","3600")</f>
        <v>181226153.52000001</v>
      </c>
      <c r="S25" s="2">
        <f>[2]!BexGetData("DP_1","00O2TNJGODT0K39D8MCMQLIKK","3000","3600")</f>
        <v>-181076147.59999999</v>
      </c>
      <c r="T25" s="2">
        <f>[2]!BexGetData("DP_1","00O2TNJGODT0K39D8MCMQLOW4","3000","3600")</f>
        <v>-136931.64000000001</v>
      </c>
      <c r="U25" s="2">
        <f>[2]!BexGetData("DP_1","00O2TNJGODT0K39D8MCMQJXOK","3000","3600")</f>
        <v>177647676.63</v>
      </c>
      <c r="V25" s="2">
        <f>[2]!BexGetData("DP_1","00O2TNJGODT0K39D8MCMQO5DW","3000","3600")</f>
        <v>29275428.460000001</v>
      </c>
      <c r="W25" s="2">
        <f>[2]!BexGetData("DP_1","00O2TNJGODT0K39D8MCMQP7B8","3000","3600")</f>
        <v>29266863.640000001</v>
      </c>
      <c r="X25" s="2">
        <f>[2]!BexGetData("DP_1","00O2TNJGODT0K39D8MCMQQ98K","3000","3600")</f>
        <v>38248748.43</v>
      </c>
      <c r="Y25" s="2">
        <f>[2]!BexGetData("DP_1","00O2TNJGODT0K39D8MCMQRB5W","3000","3600")</f>
        <v>80856636.099999994</v>
      </c>
      <c r="Z25" s="2">
        <f>[2]!BexGetData("DP_1","00O2TNJGODT0K39D8MCMQSD38","3000","3600")</f>
        <v>3578476.89</v>
      </c>
      <c r="AA25" s="2">
        <f>[2]!BexGetData("DP_1","00O2TNJGODT0K39D8MCMQSJES","3000","3600")</f>
        <v>3591551.17</v>
      </c>
      <c r="AB25" s="2">
        <f>[2]!BexGetData("DP_1","00O2TNJGODT0K39D8MCMQKABO","3000","3600")</f>
        <v>176002136.41</v>
      </c>
      <c r="AC25" s="2">
        <f>[2]!BexGetData("DP_1","00O2TNJGODT0K39D8MCMQOBPG","3000","3600")</f>
        <v>26175991.98</v>
      </c>
      <c r="AD25" s="2">
        <f>[2]!BexGetData("DP_1","00O2TNJGODT0K39D8MCMQPDMS","3000","3600")</f>
        <v>29636443.940000001</v>
      </c>
      <c r="AE25" s="2">
        <f>[2]!BexGetData("DP_1","00O2TNJGODT0K39D8MCMQQFK4","3000","3600")</f>
        <v>31100955.440000001</v>
      </c>
      <c r="AF25" s="2">
        <f>[2]!BexGetData("DP_1","00O2TNJGODT0K39D8MCMQRHHG","3000","3600")</f>
        <v>89088745.049999997</v>
      </c>
      <c r="AG25" s="2">
        <f>[2]!BexGetData("DP_1","00O2TNJGODT0K39D8MCMQSPQC","3000","3600")</f>
        <v>1645540.22</v>
      </c>
      <c r="AH25" s="2">
        <f>[2]!BexGetData("DP_1","00O2TNE7L9CBERF5UWFY00YGS","3000","3600")</f>
        <v>135445517.44</v>
      </c>
      <c r="AI25" s="2">
        <f>[2]!BexGetData("DP_1","00O2TNJGODT0K39D8MCMQOI10","3000","3600")</f>
        <v>18824256.170000002</v>
      </c>
      <c r="AJ25" s="2">
        <f>[2]!BexGetData("DP_1","00O2TNJGODT0K39D8MCMQPJYC","3000","3600")</f>
        <v>28147512.050000001</v>
      </c>
      <c r="AK25" s="2">
        <f>[2]!BexGetData("DP_1","00O2TNJGODT0K39D8MCMQQLVO","3000","3600")</f>
        <v>23294365.219999999</v>
      </c>
      <c r="AL25" s="2">
        <f>[2]!BexGetData("DP_1","00O2TNJGODT0K39D8MCMQRNT0","3000","3600")</f>
        <v>65179384</v>
      </c>
      <c r="AM25" s="2">
        <f>[2]!BexGetData("DP_1","00O2TNJGODT0K39D8MCMQSW1W","3000","3600")</f>
        <v>40556618.969999999</v>
      </c>
      <c r="AN25" s="2">
        <f>[2]!BexGetData("DP_1","00O2TNJGODT0K39D8MCMQT8P0","3000","3600")</f>
        <v>3591551.17</v>
      </c>
      <c r="AO25" s="2">
        <f>[2]!BexGetData("DP_1","00O2TNJGODT0K39D8MCMQUGXW","3000","3600")</f>
        <v>181239227.80000001</v>
      </c>
      <c r="AP25" s="6">
        <f>[2]!BexGetData("DP_1","00O2TNJGODT0K39D8MCMQUN9G","3000","3600")</f>
        <v>2.1207737953102801</v>
      </c>
      <c r="AQ25" s="6">
        <f>[2]!BexGetData("DP_1","00O2TNJGODT0K39D8MCMQUZWK","3000","3600")</f>
        <v>2.1207737953102801</v>
      </c>
      <c r="AR25" s="2">
        <f>[2]!BexGetData("DP_1","00O2TNJGODT0K39D8MCMQWR44","3000","3600")</f>
        <v>246419333.52000001</v>
      </c>
      <c r="AS25" s="16">
        <f>[2]!BexGetData("DP_1","00O2TNJGODT0K39D8MCMQXGEC","3000","3600")</f>
        <v>0.72091614765926004</v>
      </c>
      <c r="AT25" s="2">
        <f>[2]!BexGetData("DP_1","00O2TNJGODT0K39D8MCMQXMPW","3000","3600")</f>
        <v>-68771656.890000001</v>
      </c>
      <c r="AU25" s="5">
        <f>[2]!BexGetData("DP_1","00O2TNJGODT0K39D8MCMQXT1G","3000","3600")</f>
        <v>0</v>
      </c>
    </row>
    <row r="26" spans="1:47" x14ac:dyDescent="0.2">
      <c r="A26" s="1" t="s">
        <v>12</v>
      </c>
      <c r="B26" s="1" t="s">
        <v>81</v>
      </c>
      <c r="C26" s="2">
        <f>[2]!BexGetData("DP_1","00O2TNJGODT0K39D8MCMQEUDG","3000","3700")</f>
        <v>80547819.769999996</v>
      </c>
      <c r="D26" s="3">
        <f>[2]!BexGetData("DP_1","00O2TNJGODT0K39D8MCMQF0P0","3000","3700")</f>
        <v>17121955.809999999</v>
      </c>
      <c r="E26" s="3">
        <f>[2]!BexGetData("DP_1","00O2TNJGODT0K39D8MCMQF70K","3000","3700")</f>
        <v>23339072.690000001</v>
      </c>
      <c r="F26" s="3">
        <f>[2]!BexGetData("DP_1","00O2TNJGODT0K39D8MCMQFDC4","3000","3700")</f>
        <v>21712847.300000001</v>
      </c>
      <c r="G26" s="3">
        <f>[2]!BexGetData("DP_1","00O2TNJGODT0K39D8MCMQFJNO","3000","3700")</f>
        <v>18373943.969999999</v>
      </c>
      <c r="H26" s="2">
        <f>[2]!BexGetData("DP_1","00O2TNJGODT0K39D8MCMQGLL0","3000","3700")</f>
        <v>98141521.420000002</v>
      </c>
      <c r="I26" s="2">
        <f>[2]!BexGetData("DP_1","00O2TNJGODT0K39D8MCMQHNIC","3000","3700")</f>
        <v>-100733644.28</v>
      </c>
      <c r="J26" s="2">
        <f>[2]!BexGetData("DP_1","00O2TNJGODT0K3B5ZBNSUNZD9","3000","3700")</f>
        <v>-2592122.86</v>
      </c>
      <c r="K26" s="2">
        <f>[2]!BexGetData("DP_1","00O2TNJGODT0K39D8MCMQHTTW","3000","3700")</f>
        <v>77955696.909999996</v>
      </c>
      <c r="L26" s="2">
        <f>[2]!BexGetData("DP_1","00O2TNJGODT0K39D8MCMQI05G","3000","3700")</f>
        <v>11332282.15</v>
      </c>
      <c r="M26" s="2">
        <f>[2]!BexGetData("DP_1","00O2TNJGODT0K39D8MCMQI6H0","3000","3700")</f>
        <v>30215092.920000002</v>
      </c>
      <c r="N26" s="2">
        <f>[2]!BexGetData("DP_1","00O2TNJGODT0K39D8MCMQICSK","3000","3700")</f>
        <v>14835172.109999999</v>
      </c>
      <c r="O26" s="2">
        <f>[2]!BexGetData("DP_1","00O2TNJGODT0K39D8MCMQIJ44","3000","3700")</f>
        <v>21573149.73</v>
      </c>
      <c r="P26" s="2">
        <f>[2]!BexGetData("DP_1","00O2TNJGODT0K39D8MCMQIVR8","3000","3700")</f>
        <v>55330</v>
      </c>
      <c r="Q26" s="2">
        <f>[2]!BexGetData("DP_1","00O2TNJGODT0K39D8MCMQJ22S","3000","3700")</f>
        <v>77900366.909999996</v>
      </c>
      <c r="R26" s="2">
        <f>[2]!BexGetData("DP_1","00O2TNJGODT0K39D8MCMQJRD0","3000","3700")</f>
        <v>76888467.450000003</v>
      </c>
      <c r="S26" s="2">
        <f>[2]!BexGetData("DP_1","00O2TNJGODT0K39D8MCMQLIKK","3000","3700")</f>
        <v>-76833137.450000003</v>
      </c>
      <c r="T26" s="2">
        <f>[2]!BexGetData("DP_1","00O2TNJGODT0K39D8MCMQLOW4","3000","3700")</f>
        <v>1011899.46</v>
      </c>
      <c r="U26" s="2">
        <f>[2]!BexGetData("DP_1","00O2TNJGODT0K39D8MCMQJXOK","3000","3700")</f>
        <v>75586989.829999998</v>
      </c>
      <c r="V26" s="2">
        <f>[2]!BexGetData("DP_1","00O2TNJGODT0K39D8MCMQO5DW","3000","3700")</f>
        <v>10532076.140000001</v>
      </c>
      <c r="W26" s="2">
        <f>[2]!BexGetData("DP_1","00O2TNJGODT0K39D8MCMQP7B8","3000","3700")</f>
        <v>18668944.41</v>
      </c>
      <c r="X26" s="2">
        <f>[2]!BexGetData("DP_1","00O2TNJGODT0K39D8MCMQQ98K","3000","3700")</f>
        <v>19527533.210000001</v>
      </c>
      <c r="Y26" s="2">
        <f>[2]!BexGetData("DP_1","00O2TNJGODT0K39D8MCMQRB5W","3000","3700")</f>
        <v>26858436.07</v>
      </c>
      <c r="Z26" s="2">
        <f>[2]!BexGetData("DP_1","00O2TNJGODT0K39D8MCMQSD38","3000","3700")</f>
        <v>1301477.6200000001</v>
      </c>
      <c r="AA26" s="2">
        <f>[2]!BexGetData("DP_1","00O2TNJGODT0K39D8MCMQSJES","3000","3700")</f>
        <v>2368707.08</v>
      </c>
      <c r="AB26" s="2">
        <f>[2]!BexGetData("DP_1","00O2TNJGODT0K39D8MCMQKABO","3000","3700")</f>
        <v>74069858.010000005</v>
      </c>
      <c r="AC26" s="2">
        <f>[2]!BexGetData("DP_1","00O2TNJGODT0K39D8MCMQOBPG","3000","3700")</f>
        <v>10160828.119999999</v>
      </c>
      <c r="AD26" s="2">
        <f>[2]!BexGetData("DP_1","00O2TNJGODT0K39D8MCMQPDMS","3000","3700")</f>
        <v>18633771.399999999</v>
      </c>
      <c r="AE26" s="2">
        <f>[2]!BexGetData("DP_1","00O2TNJGODT0K39D8MCMQQFK4","3000","3700")</f>
        <v>18842149.879999999</v>
      </c>
      <c r="AF26" s="2">
        <f>[2]!BexGetData("DP_1","00O2TNJGODT0K39D8MCMQRHHG","3000","3700")</f>
        <v>26433108.609999999</v>
      </c>
      <c r="AG26" s="2">
        <f>[2]!BexGetData("DP_1","00O2TNJGODT0K39D8MCMQSPQC","3000","3700")</f>
        <v>1517131.82</v>
      </c>
      <c r="AH26" s="2">
        <f>[2]!BexGetData("DP_1","00O2TNE7L9CBERF5UWFY00YGS","3000","3700")</f>
        <v>71214976.549999997</v>
      </c>
      <c r="AI26" s="2">
        <f>[2]!BexGetData("DP_1","00O2TNJGODT0K39D8MCMQOI10","3000","3700")</f>
        <v>8537953.7200000007</v>
      </c>
      <c r="AJ26" s="2">
        <f>[2]!BexGetData("DP_1","00O2TNJGODT0K39D8MCMQPJYC","3000","3700")</f>
        <v>17731071.699999999</v>
      </c>
      <c r="AK26" s="2">
        <f>[2]!BexGetData("DP_1","00O2TNJGODT0K39D8MCMQQLVO","3000","3700")</f>
        <v>18240436.100000001</v>
      </c>
      <c r="AL26" s="2">
        <f>[2]!BexGetData("DP_1","00O2TNJGODT0K39D8MCMQRNT0","3000","3700")</f>
        <v>26705515.030000001</v>
      </c>
      <c r="AM26" s="2">
        <f>[2]!BexGetData("DP_1","00O2TNJGODT0K39D8MCMQSW1W","3000","3700")</f>
        <v>2854881.46</v>
      </c>
      <c r="AN26" s="2">
        <f>[2]!BexGetData("DP_1","00O2TNJGODT0K39D8MCMQT8P0","3000","3700")</f>
        <v>2368707.08</v>
      </c>
      <c r="AO26" s="2">
        <f>[2]!BexGetData("DP_1","00O2TNJGODT0K39D8MCMQUGXW","3000","3700")</f>
        <v>77955696.909999996</v>
      </c>
      <c r="AP26" s="6">
        <f>[2]!BexGetData("DP_1","00O2TNJGODT0K39D8MCMQUN9G","3000","3700")</f>
        <v>0.93841136912003997</v>
      </c>
      <c r="AQ26" s="6">
        <f>[2]!BexGetData("DP_1","00O2TNJGODT0K39D8MCMQUZWK","3000","3700")</f>
        <v>0.93841136912003997</v>
      </c>
      <c r="AR26" s="2">
        <f>[2]!BexGetData("DP_1","00O2TNJGODT0K39D8MCMQWR44","3000","3700")</f>
        <v>64802819.109999999</v>
      </c>
      <c r="AS26" s="16">
        <f>[2]!BexGetData("DP_1","00O2TNJGODT0K39D8MCMQXGEC","3000","3700")</f>
        <v>1.1664151477992699</v>
      </c>
      <c r="AT26" s="2">
        <f>[2]!BexGetData("DP_1","00O2TNJGODT0K39D8MCMQXMPW","3000","3700")</f>
        <v>10784170.720000001</v>
      </c>
      <c r="AU26" s="5">
        <f>[2]!BexGetData("DP_1","00O2TNJGODT0K39D8MCMQXT1G","3000","3700")</f>
        <v>0</v>
      </c>
    </row>
    <row r="27" spans="1:47" x14ac:dyDescent="0.2">
      <c r="A27" s="1" t="s">
        <v>12</v>
      </c>
      <c r="B27" s="1" t="s">
        <v>96</v>
      </c>
      <c r="C27" s="2">
        <f>[2]!BexGetData("DP_1","00O2TNJGODT0K39D8MCMQEUDG","3000","3800")</f>
        <v>33896845.850000001</v>
      </c>
      <c r="D27" s="3">
        <f>[2]!BexGetData("DP_1","00O2TNJGODT0K39D8MCMQF0P0","3000","3800")</f>
        <v>5207828.76</v>
      </c>
      <c r="E27" s="3">
        <f>[2]!BexGetData("DP_1","00O2TNJGODT0K39D8MCMQF70K","3000","3800")</f>
        <v>13596279.369999999</v>
      </c>
      <c r="F27" s="3">
        <f>[2]!BexGetData("DP_1","00O2TNJGODT0K39D8MCMQFDC4","3000","3800")</f>
        <v>5485654.1500000004</v>
      </c>
      <c r="G27" s="3">
        <f>[2]!BexGetData("DP_1","00O2TNJGODT0K39D8MCMQFJNO","3000","3800")</f>
        <v>9607083.5700000003</v>
      </c>
      <c r="H27" s="2">
        <f>[2]!BexGetData("DP_1","00O2TNJGODT0K39D8MCMQGLL0","3000","3800")</f>
        <v>82487651.430000007</v>
      </c>
      <c r="I27" s="2">
        <f>[2]!BexGetData("DP_1","00O2TNJGODT0K39D8MCMQHNIC","3000","3800")</f>
        <v>-45727324.299999997</v>
      </c>
      <c r="J27" s="2">
        <f>[2]!BexGetData("DP_1","00O2TNJGODT0K3B5ZBNSUNZD9","3000","3800")</f>
        <v>36760327.130000003</v>
      </c>
      <c r="K27" s="2">
        <f>[2]!BexGetData("DP_1","00O2TNJGODT0K39D8MCMQHTTW","3000","3800")</f>
        <v>70657172.980000004</v>
      </c>
      <c r="L27" s="2">
        <f>[2]!BexGetData("DP_1","00O2TNJGODT0K39D8MCMQI05G","3000","3800")</f>
        <v>5735122.8799999999</v>
      </c>
      <c r="M27" s="2">
        <f>[2]!BexGetData("DP_1","00O2TNJGODT0K39D8MCMQI6H0","3000","3800")</f>
        <v>28404093.350000001</v>
      </c>
      <c r="N27" s="2">
        <f>[2]!BexGetData("DP_1","00O2TNJGODT0K39D8MCMQICSK","3000","3800")</f>
        <v>4930715.1399999997</v>
      </c>
      <c r="O27" s="2">
        <f>[2]!BexGetData("DP_1","00O2TNJGODT0K39D8MCMQIJ44","3000","3800")</f>
        <v>31587241.609999999</v>
      </c>
      <c r="P27" s="2">
        <f>[2]!BexGetData("DP_1","00O2TNJGODT0K39D8MCMQIVR8","3000","3800")</f>
        <v>86892.98</v>
      </c>
      <c r="Q27" s="2">
        <f>[2]!BexGetData("DP_1","00O2TNJGODT0K39D8MCMQJ22S","3000","3800")</f>
        <v>70570280</v>
      </c>
      <c r="R27" s="2">
        <f>[2]!BexGetData("DP_1","00O2TNJGODT0K39D8MCMQJRD0","3000","3800")</f>
        <v>70506204.329999998</v>
      </c>
      <c r="S27" s="2">
        <f>[2]!BexGetData("DP_1","00O2TNJGODT0K39D8MCMQLIKK","3000","3800")</f>
        <v>-70419311.349999994</v>
      </c>
      <c r="T27" s="2">
        <f>[2]!BexGetData("DP_1","00O2TNJGODT0K39D8MCMQLOW4","3000","3800")</f>
        <v>64075.67</v>
      </c>
      <c r="U27" s="2">
        <f>[2]!BexGetData("DP_1","00O2TNJGODT0K39D8MCMQJXOK","3000","3800")</f>
        <v>70396935.069999993</v>
      </c>
      <c r="V27" s="2">
        <f>[2]!BexGetData("DP_1","00O2TNJGODT0K39D8MCMQO5DW","3000","3800")</f>
        <v>4911015.17</v>
      </c>
      <c r="W27" s="2">
        <f>[2]!BexGetData("DP_1","00O2TNJGODT0K39D8MCMQP7B8","3000","3800")</f>
        <v>29578383.969999999</v>
      </c>
      <c r="X27" s="2">
        <f>[2]!BexGetData("DP_1","00O2TNJGODT0K39D8MCMQQ98K","3000","3800")</f>
        <v>1516382.91</v>
      </c>
      <c r="Y27" s="2">
        <f>[2]!BexGetData("DP_1","00O2TNJGODT0K39D8MCMQRB5W","3000","3800")</f>
        <v>34391153.020000003</v>
      </c>
      <c r="Z27" s="2">
        <f>[2]!BexGetData("DP_1","00O2TNJGODT0K39D8MCMQSD38","3000","3800")</f>
        <v>109269.26</v>
      </c>
      <c r="AA27" s="2">
        <f>[2]!BexGetData("DP_1","00O2TNJGODT0K39D8MCMQSJES","3000","3800")</f>
        <v>260237.91</v>
      </c>
      <c r="AB27" s="2">
        <f>[2]!BexGetData("DP_1","00O2TNJGODT0K39D8MCMQKABO","3000","3800")</f>
        <v>69856435.370000005</v>
      </c>
      <c r="AC27" s="2">
        <f>[2]!BexGetData("DP_1","00O2TNJGODT0K39D8MCMQOBPG","3000","3800")</f>
        <v>4681367.96</v>
      </c>
      <c r="AD27" s="2">
        <f>[2]!BexGetData("DP_1","00O2TNJGODT0K39D8MCMQPDMS","3000","3800")</f>
        <v>19922120.760000002</v>
      </c>
      <c r="AE27" s="2">
        <f>[2]!BexGetData("DP_1","00O2TNJGODT0K39D8MCMQQFK4","3000","3800")</f>
        <v>10433630.82</v>
      </c>
      <c r="AF27" s="2">
        <f>[2]!BexGetData("DP_1","00O2TNJGODT0K39D8MCMQRHHG","3000","3800")</f>
        <v>34819315.829999998</v>
      </c>
      <c r="AG27" s="2">
        <f>[2]!BexGetData("DP_1","00O2TNJGODT0K39D8MCMQSPQC","3000","3800")</f>
        <v>540499.69999999995</v>
      </c>
      <c r="AH27" s="2">
        <f>[2]!BexGetData("DP_1","00O2TNE7L9CBERF5UWFY00YGS","3000","3800")</f>
        <v>67610417.640000001</v>
      </c>
      <c r="AI27" s="2">
        <f>[2]!BexGetData("DP_1","00O2TNJGODT0K39D8MCMQOI10","3000","3800")</f>
        <v>493531.17</v>
      </c>
      <c r="AJ27" s="2">
        <f>[2]!BexGetData("DP_1","00O2TNJGODT0K39D8MCMQPJYC","3000","3800")</f>
        <v>20658278.23</v>
      </c>
      <c r="AK27" s="2">
        <f>[2]!BexGetData("DP_1","00O2TNJGODT0K39D8MCMQQLVO","3000","3800")</f>
        <v>11848568.83</v>
      </c>
      <c r="AL27" s="2">
        <f>[2]!BexGetData("DP_1","00O2TNJGODT0K39D8MCMQRNT0","3000","3800")</f>
        <v>34610039.409999996</v>
      </c>
      <c r="AM27" s="2">
        <f>[2]!BexGetData("DP_1","00O2TNJGODT0K39D8MCMQSW1W","3000","3800")</f>
        <v>2246017.73</v>
      </c>
      <c r="AN27" s="2">
        <f>[2]!BexGetData("DP_1","00O2TNJGODT0K39D8MCMQT8P0","3000","3800")</f>
        <v>260237.91</v>
      </c>
      <c r="AO27" s="2">
        <f>[2]!BexGetData("DP_1","00O2TNJGODT0K39D8MCMQUGXW","3000","3800")</f>
        <v>70657172.980000004</v>
      </c>
      <c r="AP27" s="6">
        <f>[2]!BexGetData("DP_1","00O2TNJGODT0K39D8MCMQUN9G","3000","3800")</f>
        <v>2.0767989854135598</v>
      </c>
      <c r="AQ27" s="6">
        <f>[2]!BexGetData("DP_1","00O2TNJGODT0K39D8MCMQUZWK","3000","3800")</f>
        <v>2.0767989854135598</v>
      </c>
      <c r="AR27" s="2">
        <f>[2]!BexGetData("DP_1","00O2TNJGODT0K39D8MCMQWR44","3000","3800")</f>
        <v>65779444.420000002</v>
      </c>
      <c r="AS27" s="16">
        <f>[2]!BexGetData("DP_1","00O2TNJGODT0K39D8MCMQXGEC","3000","3800")</f>
        <v>1.0701965589815201</v>
      </c>
      <c r="AT27" s="2">
        <f>[2]!BexGetData("DP_1","00O2TNJGODT0K39D8MCMQXMPW","3000","3800")</f>
        <v>4617490.6500000004</v>
      </c>
      <c r="AU27" s="5">
        <f>[2]!BexGetData("DP_1","00O2TNJGODT0K39D8MCMQXT1G","3000","3800")</f>
        <v>0</v>
      </c>
    </row>
    <row r="28" spans="1:47" x14ac:dyDescent="0.2">
      <c r="A28" s="1" t="s">
        <v>12</v>
      </c>
      <c r="B28" s="1" t="s">
        <v>97</v>
      </c>
      <c r="C28" s="2">
        <f>[2]!BexGetData("DP_1","00O2TNJGODT0K39D8MCMQEUDG","3000","3900")</f>
        <v>9359281.6300000008</v>
      </c>
      <c r="D28" s="3">
        <f>[2]!BexGetData("DP_1","00O2TNJGODT0K39D8MCMQF0P0","3000","3900")</f>
        <v>4360186.1100000003</v>
      </c>
      <c r="E28" s="3">
        <f>[2]!BexGetData("DP_1","00O2TNJGODT0K39D8MCMQF70K","3000","3900")</f>
        <v>2016454.48</v>
      </c>
      <c r="F28" s="3">
        <f>[2]!BexGetData("DP_1","00O2TNJGODT0K39D8MCMQFDC4","3000","3900")</f>
        <v>1655254.48</v>
      </c>
      <c r="G28" s="3">
        <f>[2]!BexGetData("DP_1","00O2TNJGODT0K39D8MCMQFJNO","3000","3900")</f>
        <v>1327386.56</v>
      </c>
      <c r="H28" s="2">
        <f>[2]!BexGetData("DP_1","00O2TNJGODT0K39D8MCMQGLL0","3000","3900")</f>
        <v>72113612.939999998</v>
      </c>
      <c r="I28" s="2">
        <f>[2]!BexGetData("DP_1","00O2TNJGODT0K39D8MCMQHNIC","3000","3900")</f>
        <v>-20732313.039999999</v>
      </c>
      <c r="J28" s="2">
        <f>[2]!BexGetData("DP_1","00O2TNJGODT0K3B5ZBNSUNZD9","3000","3900")</f>
        <v>51381299.899999999</v>
      </c>
      <c r="K28" s="2">
        <f>[2]!BexGetData("DP_1","00O2TNJGODT0K39D8MCMQHTTW","3000","3900")</f>
        <v>60740581.530000001</v>
      </c>
      <c r="L28" s="2">
        <f>[2]!BexGetData("DP_1","00O2TNJGODT0K39D8MCMQI05G","3000","3900")</f>
        <v>28024416.649999999</v>
      </c>
      <c r="M28" s="2">
        <f>[2]!BexGetData("DP_1","00O2TNJGODT0K39D8MCMQI6H0","3000","3900")</f>
        <v>10825163.640000001</v>
      </c>
      <c r="N28" s="2">
        <f>[2]!BexGetData("DP_1","00O2TNJGODT0K39D8MCMQICSK","3000","3900")</f>
        <v>15516826.26</v>
      </c>
      <c r="O28" s="2">
        <f>[2]!BexGetData("DP_1","00O2TNJGODT0K39D8MCMQIJ44","3000","3900")</f>
        <v>6374174.9800000004</v>
      </c>
      <c r="P28" s="2">
        <f>[2]!BexGetData("DP_1","00O2TNJGODT0K39D8MCMQIVR8","3000","3900")</f>
        <v>11524.79</v>
      </c>
      <c r="Q28" s="2">
        <f>[2]!BexGetData("DP_1","00O2TNJGODT0K39D8MCMQJ22S","3000","3900")</f>
        <v>60729056.740000002</v>
      </c>
      <c r="R28" s="2">
        <f>[2]!BexGetData("DP_1","00O2TNJGODT0K39D8MCMQJRD0","3000","3900")</f>
        <v>60670897.57</v>
      </c>
      <c r="S28" s="2">
        <f>[2]!BexGetData("DP_1","00O2TNJGODT0K39D8MCMQLIKK","3000","3900")</f>
        <v>-60659372.780000001</v>
      </c>
      <c r="T28" s="2">
        <f>[2]!BexGetData("DP_1","00O2TNJGODT0K39D8MCMQLOW4","3000","3900")</f>
        <v>58159.17</v>
      </c>
      <c r="U28" s="2">
        <f>[2]!BexGetData("DP_1","00O2TNJGODT0K39D8MCMQJXOK","3000","3900")</f>
        <v>60478594.189999998</v>
      </c>
      <c r="V28" s="2">
        <f>[2]!BexGetData("DP_1","00O2TNJGODT0K39D8MCMQO5DW","3000","3900")</f>
        <v>17816592.43</v>
      </c>
      <c r="W28" s="2">
        <f>[2]!BexGetData("DP_1","00O2TNJGODT0K39D8MCMQP7B8","3000","3900")</f>
        <v>13859437.24</v>
      </c>
      <c r="X28" s="2">
        <f>[2]!BexGetData("DP_1","00O2TNJGODT0K39D8MCMQQ98K","3000","3900")</f>
        <v>17039277.23</v>
      </c>
      <c r="Y28" s="2">
        <f>[2]!BexGetData("DP_1","00O2TNJGODT0K39D8MCMQRB5W","3000","3900")</f>
        <v>11763287.289999999</v>
      </c>
      <c r="Z28" s="2">
        <f>[2]!BexGetData("DP_1","00O2TNJGODT0K39D8MCMQSD38","3000","3900")</f>
        <v>192303.38</v>
      </c>
      <c r="AA28" s="2">
        <f>[2]!BexGetData("DP_1","00O2TNJGODT0K39D8MCMQSJES","3000","3900")</f>
        <v>261987.34</v>
      </c>
      <c r="AB28" s="2">
        <f>[2]!BexGetData("DP_1","00O2TNJGODT0K39D8MCMQKABO","3000","3900")</f>
        <v>60472229.229999997</v>
      </c>
      <c r="AC28" s="2">
        <f>[2]!BexGetData("DP_1","00O2TNJGODT0K39D8MCMQOBPG","3000","3900")</f>
        <v>17815240.129999999</v>
      </c>
      <c r="AD28" s="2">
        <f>[2]!BexGetData("DP_1","00O2TNJGODT0K39D8MCMQPDMS","3000","3900")</f>
        <v>13827026.550000001</v>
      </c>
      <c r="AE28" s="2">
        <f>[2]!BexGetData("DP_1","00O2TNJGODT0K39D8MCMQQFK4","3000","3900")</f>
        <v>17064218.329999998</v>
      </c>
      <c r="AF28" s="2">
        <f>[2]!BexGetData("DP_1","00O2TNJGODT0K39D8MCMQRHHG","3000","3900")</f>
        <v>11765744.220000001</v>
      </c>
      <c r="AG28" s="2">
        <f>[2]!BexGetData("DP_1","00O2TNJGODT0K39D8MCMQSPQC","3000","3900")</f>
        <v>6364.96</v>
      </c>
      <c r="AH28" s="2">
        <f>[2]!BexGetData("DP_1","00O2TNE7L9CBERF5UWFY00YGS","3000","3900")</f>
        <v>60457660.420000002</v>
      </c>
      <c r="AI28" s="2">
        <f>[2]!BexGetData("DP_1","00O2TNJGODT0K39D8MCMQOI10","3000","3900")</f>
        <v>17748495.989999998</v>
      </c>
      <c r="AJ28" s="2">
        <f>[2]!BexGetData("DP_1","00O2TNJGODT0K39D8MCMQPJYC","3000","3900")</f>
        <v>13732524.939999999</v>
      </c>
      <c r="AK28" s="2">
        <f>[2]!BexGetData("DP_1","00O2TNJGODT0K39D8MCMQQLVO","3000","3900")</f>
        <v>17139786.239999998</v>
      </c>
      <c r="AL28" s="2">
        <f>[2]!BexGetData("DP_1","00O2TNJGODT0K39D8MCMQRNT0","3000","3900")</f>
        <v>11836853.25</v>
      </c>
      <c r="AM28" s="2">
        <f>[2]!BexGetData("DP_1","00O2TNJGODT0K39D8MCMQSW1W","3000","3900")</f>
        <v>14568.81</v>
      </c>
      <c r="AN28" s="2">
        <f>[2]!BexGetData("DP_1","00O2TNJGODT0K39D8MCMQT8P0","3000","3900")</f>
        <v>261987.34</v>
      </c>
      <c r="AO28" s="2">
        <f>[2]!BexGetData("DP_1","00O2TNJGODT0K39D8MCMQUGXW","3000","3900")</f>
        <v>60740581.530000001</v>
      </c>
      <c r="AP28" s="6">
        <f>[2]!BexGetData("DP_1","00O2TNJGODT0K39D8MCMQUN9G","3000","3900")</f>
        <v>6.4618842108718599</v>
      </c>
      <c r="AQ28" s="6">
        <f>[2]!BexGetData("DP_1","00O2TNJGODT0K39D8MCMQUZWK","3000","3900")</f>
        <v>6.4618842108718599</v>
      </c>
      <c r="AR28" s="2">
        <f>[2]!BexGetData("DP_1","00O2TNJGODT0K39D8MCMQWR44","3000","3900")</f>
        <v>40527218.560000002</v>
      </c>
      <c r="AS28" s="16">
        <f>[2]!BexGetData("DP_1","00O2TNJGODT0K39D8MCMQXGEC","3000","3900")</f>
        <v>1.49229570493377</v>
      </c>
      <c r="AT28" s="2">
        <f>[2]!BexGetData("DP_1","00O2TNJGODT0K39D8MCMQXMPW","3000","3900")</f>
        <v>19951375.629999999</v>
      </c>
      <c r="AU28" s="5">
        <f>[2]!BexGetData("DP_1","00O2TNJGODT0K39D8MCMQXT1G","3000","3900")</f>
        <v>0</v>
      </c>
    </row>
    <row r="29" spans="1:47" x14ac:dyDescent="0.2">
      <c r="A29" s="1" t="s">
        <v>12</v>
      </c>
      <c r="B29" s="10" t="s">
        <v>88</v>
      </c>
      <c r="C29" s="11">
        <f>[2]!BexGetData("DP_1","00O2TNJGODT0K39D8MCMQEUDG","3000","SUMME")</f>
        <v>1337354416.1700001</v>
      </c>
      <c r="D29" s="12">
        <f>[2]!BexGetData("DP_1","00O2TNJGODT0K39D8MCMQF0P0","3000","SUMME")</f>
        <v>339723635.69</v>
      </c>
      <c r="E29" s="12">
        <f>[2]!BexGetData("DP_1","00O2TNJGODT0K39D8MCMQF70K","3000","SUMME")</f>
        <v>352201485.44999999</v>
      </c>
      <c r="F29" s="12">
        <f>[2]!BexGetData("DP_1","00O2TNJGODT0K39D8MCMQFDC4","3000","SUMME")</f>
        <v>329775390.88999999</v>
      </c>
      <c r="G29" s="12">
        <f>[2]!BexGetData("DP_1","00O2TNJGODT0K39D8MCMQFJNO","3000","SUMME")</f>
        <v>315653904.13999999</v>
      </c>
      <c r="H29" s="11">
        <f>[2]!BexGetData("DP_1","00O2TNJGODT0K39D8MCMQGLL0","3000","SUMME")</f>
        <v>2842032709.5599999</v>
      </c>
      <c r="I29" s="11">
        <f>[2]!BexGetData("DP_1","00O2TNJGODT0K39D8MCMQHNIC","3000","SUMME")</f>
        <v>-2157621733.1100001</v>
      </c>
      <c r="J29" s="11">
        <f>[2]!BexGetData("DP_1","00O2TNJGODT0K3B5ZBNSUNZD9","3000","SUMME")</f>
        <v>684410976.45000005</v>
      </c>
      <c r="K29" s="11">
        <f>[2]!BexGetData("DP_1","00O2TNJGODT0K39D8MCMQHTTW","3000","SUMME")</f>
        <v>2021765392.6199999</v>
      </c>
      <c r="L29" s="11">
        <f>[2]!BexGetData("DP_1","00O2TNJGODT0K39D8MCMQI05G","3000","SUMME")</f>
        <v>449393915.19999999</v>
      </c>
      <c r="M29" s="11">
        <f>[2]!BexGetData("DP_1","00O2TNJGODT0K39D8MCMQI6H0","3000","SUMME")</f>
        <v>552138523.61000001</v>
      </c>
      <c r="N29" s="11">
        <f>[2]!BexGetData("DP_1","00O2TNJGODT0K39D8MCMQICSK","3000","SUMME")</f>
        <v>591542144.07000005</v>
      </c>
      <c r="O29" s="11">
        <f>[2]!BexGetData("DP_1","00O2TNJGODT0K39D8MCMQIJ44","3000","SUMME")</f>
        <v>428690809.74000001</v>
      </c>
      <c r="P29" s="11">
        <f>[2]!BexGetData("DP_1","00O2TNJGODT0K39D8MCMQIVR8","3000","SUMME")</f>
        <v>11018747.33</v>
      </c>
      <c r="Q29" s="11">
        <f>[2]!BexGetData("DP_1","00O2TNJGODT0K39D8MCMQJ22S","3000","SUMME")</f>
        <v>2010746645.29</v>
      </c>
      <c r="R29" s="11">
        <f>[2]!BexGetData("DP_1","00O2TNJGODT0K39D8MCMQJRD0","3000","SUMME")</f>
        <v>2011642032.5999999</v>
      </c>
      <c r="S29" s="11">
        <f>[2]!BexGetData("DP_1","00O2TNJGODT0K39D8MCMQLIKK","3000","SUMME")</f>
        <v>-2000623285.27</v>
      </c>
      <c r="T29" s="11">
        <f>[2]!BexGetData("DP_1","00O2TNJGODT0K39D8MCMQLOW4","3000","SUMME")</f>
        <v>-895387.31</v>
      </c>
      <c r="U29" s="11">
        <f>[2]!BexGetData("DP_1","00O2TNJGODT0K39D8MCMQJXOK","3000","SUMME")</f>
        <v>1989490315.4400001</v>
      </c>
      <c r="V29" s="11">
        <f>[2]!BexGetData("DP_1","00O2TNJGODT0K39D8MCMQO5DW","3000","SUMME")</f>
        <v>216579656.03</v>
      </c>
      <c r="W29" s="11">
        <f>[2]!BexGetData("DP_1","00O2TNJGODT0K39D8MCMQP7B8","3000","SUMME")</f>
        <v>470305967.88</v>
      </c>
      <c r="X29" s="11">
        <f>[2]!BexGetData("DP_1","00O2TNJGODT0K39D8MCMQQ98K","3000","SUMME")</f>
        <v>505758831.18000001</v>
      </c>
      <c r="Y29" s="11">
        <f>[2]!BexGetData("DP_1","00O2TNJGODT0K39D8MCMQRB5W","3000","SUMME")</f>
        <v>796845860.35000002</v>
      </c>
      <c r="Z29" s="11">
        <f>[2]!BexGetData("DP_1","00O2TNJGODT0K39D8MCMQSD38","3000","SUMME")</f>
        <v>22151717.16</v>
      </c>
      <c r="AA29" s="11">
        <f>[2]!BexGetData("DP_1","00O2TNJGODT0K39D8MCMQSJES","3000","SUMME")</f>
        <v>32275077.18</v>
      </c>
      <c r="AB29" s="11">
        <f>[2]!BexGetData("DP_1","00O2TNJGODT0K39D8MCMQKABO","3000","SUMME")</f>
        <v>1814584298.8599999</v>
      </c>
      <c r="AC29" s="11">
        <f>[2]!BexGetData("DP_1","00O2TNJGODT0K39D8MCMQOBPG","3000","SUMME")</f>
        <v>188052628.38999999</v>
      </c>
      <c r="AD29" s="11">
        <f>[2]!BexGetData("DP_1","00O2TNJGODT0K39D8MCMQPDMS","3000","SUMME")</f>
        <v>433534124.11000001</v>
      </c>
      <c r="AE29" s="11">
        <f>[2]!BexGetData("DP_1","00O2TNJGODT0K39D8MCMQQFK4","3000","SUMME")</f>
        <v>475488898.74000001</v>
      </c>
      <c r="AF29" s="11">
        <f>[2]!BexGetData("DP_1","00O2TNJGODT0K39D8MCMQRHHG","3000","SUMME")</f>
        <v>717508647.62</v>
      </c>
      <c r="AG29" s="11">
        <f>[2]!BexGetData("DP_1","00O2TNJGODT0K39D8MCMQSPQC","3000","SUMME")</f>
        <v>174906016.58000001</v>
      </c>
      <c r="AH29" s="11">
        <f>[2]!BexGetData("DP_1","00O2TNE7L9CBERF5UWFY00YGS","3000","SUMME")</f>
        <v>1571034384.6099999</v>
      </c>
      <c r="AI29" s="11">
        <f>[2]!BexGetData("DP_1","00O2TNJGODT0K39D8MCMQOI10","3000","SUMME")</f>
        <v>154751059.52000001</v>
      </c>
      <c r="AJ29" s="11">
        <f>[2]!BexGetData("DP_1","00O2TNJGODT0K39D8MCMQPJYC","3000","SUMME")</f>
        <v>331371919.01999998</v>
      </c>
      <c r="AK29" s="11">
        <f>[2]!BexGetData("DP_1","00O2TNJGODT0K39D8MCMQQLVO","3000","SUMME")</f>
        <v>449917972.01999998</v>
      </c>
      <c r="AL29" s="11">
        <f>[2]!BexGetData("DP_1","00O2TNJGODT0K39D8MCMQRNT0","3000","SUMME")</f>
        <v>634993434.04999995</v>
      </c>
      <c r="AM29" s="11">
        <f>[2]!BexGetData("DP_1","00O2TNJGODT0K39D8MCMQSW1W","3000","SUMME")</f>
        <v>243549914.25</v>
      </c>
      <c r="AN29" s="11">
        <f>[2]!BexGetData("DP_1","00O2TNJGODT0K39D8MCMQT8P0","3000","SUMME")</f>
        <v>32275077.18</v>
      </c>
      <c r="AO29" s="11">
        <f>[2]!BexGetData("DP_1","00O2TNJGODT0K39D8MCMQUGXW","3000","SUMME")</f>
        <v>2021765392.6199999</v>
      </c>
      <c r="AP29" s="15">
        <f>[2]!BexGetData("DP_1","00O2TNJGODT0K39D8MCMQUN9G","3000","SUMME")</f>
        <v>1.48763132000388</v>
      </c>
      <c r="AQ29" s="15">
        <f>[2]!BexGetData("DP_1","00O2TNJGODT0K39D8MCMQUZWK","3000","SUMME")</f>
        <v>1.48763132000388</v>
      </c>
      <c r="AR29" s="11">
        <f>[2]!BexGetData("DP_1","00O2TNJGODT0K39D8MCMQWR44","3000","SUMME")</f>
        <v>2405942490.5700002</v>
      </c>
      <c r="AS29" s="17">
        <f>[2]!BexGetData("DP_1","00O2TNJGODT0K39D8MCMQXGEC","3000","SUMME")</f>
        <v>0.82690684554503002</v>
      </c>
      <c r="AT29" s="11">
        <f>[2]!BexGetData("DP_1","00O2TNJGODT0K39D8MCMQXMPW","3000","SUMME")</f>
        <v>-416452175.13</v>
      </c>
      <c r="AU29" s="14">
        <f>[2]!BexGetData("DP_1","00O2TNJGODT0K39D8MCMQXT1G","3000","SUMME")</f>
        <v>0</v>
      </c>
    </row>
    <row r="30" spans="1:47" x14ac:dyDescent="0.2">
      <c r="A30" s="1" t="s">
        <v>16</v>
      </c>
      <c r="B30" s="1" t="s">
        <v>82</v>
      </c>
      <c r="C30" s="2">
        <f>[2]!BexGetData("DP_1","00O2TNJGODT0K39D8MCMQEUDG","4000","4100")</f>
        <v>28876720058.279999</v>
      </c>
      <c r="D30" s="3">
        <f>[2]!BexGetData("DP_1","00O2TNJGODT0K39D8MCMQF0P0","4000","4100")</f>
        <v>7486206201.9899998</v>
      </c>
      <c r="E30" s="3">
        <f>[2]!BexGetData("DP_1","00O2TNJGODT0K39D8MCMQF70K","4000","4100")</f>
        <v>7440073804.4399996</v>
      </c>
      <c r="F30" s="3">
        <f>[2]!BexGetData("DP_1","00O2TNJGODT0K39D8MCMQFDC4","4000","4100")</f>
        <v>6641175341.9899998</v>
      </c>
      <c r="G30" s="3">
        <f>[2]!BexGetData("DP_1","00O2TNJGODT0K39D8MCMQFJNO","4000","4100")</f>
        <v>7309264709.8599997</v>
      </c>
      <c r="H30" s="2">
        <f>[2]!BexGetData("DP_1","00O2TNJGODT0K39D8MCMQGLL0","4000","4100")</f>
        <v>26899527442.77</v>
      </c>
      <c r="I30" s="2">
        <f>[2]!BexGetData("DP_1","00O2TNJGODT0K39D8MCMQHNIC","4000","4100")</f>
        <v>-21594640207.060001</v>
      </c>
      <c r="J30" s="2">
        <f>[2]!BexGetData("DP_1","00O2TNJGODT0K3B5ZBNSUNZD9","4000","4100")</f>
        <v>5304887235.71</v>
      </c>
      <c r="K30" s="2">
        <f>[2]!BexGetData("DP_1","00O2TNJGODT0K39D8MCMQHTTW","4000","4100")</f>
        <v>34181607293.990002</v>
      </c>
      <c r="L30" s="2">
        <f>[2]!BexGetData("DP_1","00O2TNJGODT0K39D8MCMQI05G","4000","4100")</f>
        <v>8621400659.5900002</v>
      </c>
      <c r="M30" s="2">
        <f>[2]!BexGetData("DP_1","00O2TNJGODT0K39D8MCMQI6H0","4000","4100")</f>
        <v>8905556962.0499992</v>
      </c>
      <c r="N30" s="2">
        <f>[2]!BexGetData("DP_1","00O2TNJGODT0K39D8MCMQICSK","4000","4100")</f>
        <v>7921155605.3699999</v>
      </c>
      <c r="O30" s="2">
        <f>[2]!BexGetData("DP_1","00O2TNJGODT0K39D8MCMQIJ44","4000","4100")</f>
        <v>8733494066.9799995</v>
      </c>
      <c r="P30" s="4" t="str">
        <f>[2]!BexGetData("DP_1","00O2TNJGODT0K39D8MCMQIVR8","4000","4100")</f>
        <v/>
      </c>
      <c r="Q30" s="2">
        <f>[2]!BexGetData("DP_1","00O2TNJGODT0K39D8MCMQJ22S","4000","4100")</f>
        <v>34181607293.990002</v>
      </c>
      <c r="R30" s="2">
        <f>[2]!BexGetData("DP_1","00O2TNJGODT0K39D8MCMQJRD0","4000","4100")</f>
        <v>33638781153.540001</v>
      </c>
      <c r="S30" s="2">
        <f>[2]!BexGetData("DP_1","00O2TNJGODT0K39D8MCMQLIKK","4000","4100")</f>
        <v>-33638781153.540001</v>
      </c>
      <c r="T30" s="2">
        <f>[2]!BexGetData("DP_1","00O2TNJGODT0K39D8MCMQLOW4","4000","4100")</f>
        <v>542826140.45000005</v>
      </c>
      <c r="U30" s="2">
        <f>[2]!BexGetData("DP_1","00O2TNJGODT0K39D8MCMQJXOK","4000","4100")</f>
        <v>33633247075.66</v>
      </c>
      <c r="V30" s="2">
        <f>[2]!BexGetData("DP_1","00O2TNJGODT0K39D8MCMQO5DW","4000","4100")</f>
        <v>7812361333.7799997</v>
      </c>
      <c r="W30" s="2">
        <f>[2]!BexGetData("DP_1","00O2TNJGODT0K39D8MCMQP7B8","4000","4100")</f>
        <v>8327060336.71</v>
      </c>
      <c r="X30" s="2">
        <f>[2]!BexGetData("DP_1","00O2TNJGODT0K39D8MCMQQ98K","4000","4100")</f>
        <v>8140654391.9799995</v>
      </c>
      <c r="Y30" s="2">
        <f>[2]!BexGetData("DP_1","00O2TNJGODT0K39D8MCMQRB5W","4000","4100")</f>
        <v>9353171013.1900005</v>
      </c>
      <c r="Z30" s="2">
        <f>[2]!BexGetData("DP_1","00O2TNJGODT0K39D8MCMQSD38","4000","4100")</f>
        <v>5534077.8799999999</v>
      </c>
      <c r="AA30" s="2">
        <f>[2]!BexGetData("DP_1","00O2TNJGODT0K39D8MCMQSJES","4000","4100")</f>
        <v>548360218.33000004</v>
      </c>
      <c r="AB30" s="2">
        <f>[2]!BexGetData("DP_1","00O2TNJGODT0K39D8MCMQKABO","4000","4100")</f>
        <v>33633247075.66</v>
      </c>
      <c r="AC30" s="2">
        <f>[2]!BexGetData("DP_1","00O2TNJGODT0K39D8MCMQOBPG","4000","4100")</f>
        <v>7812361333.7799997</v>
      </c>
      <c r="AD30" s="2">
        <f>[2]!BexGetData("DP_1","00O2TNJGODT0K39D8MCMQPDMS","4000","4100")</f>
        <v>8327060336.71</v>
      </c>
      <c r="AE30" s="2">
        <f>[2]!BexGetData("DP_1","00O2TNJGODT0K39D8MCMQQFK4","4000","4100")</f>
        <v>8140654391.9799995</v>
      </c>
      <c r="AF30" s="2">
        <f>[2]!BexGetData("DP_1","00O2TNJGODT0K39D8MCMQRHHG","4000","4100")</f>
        <v>9353171013.1900005</v>
      </c>
      <c r="AG30" s="5">
        <f>[2]!BexGetData("DP_1","00O2TNJGODT0K39D8MCMQSPQC","4000","4100")</f>
        <v>0</v>
      </c>
      <c r="AH30" s="2">
        <f>[2]!BexGetData("DP_1","00O2TNE7L9CBERF5UWFY00YGS","4000","4100")</f>
        <v>33017189021.540001</v>
      </c>
      <c r="AI30" s="2">
        <f>[2]!BexGetData("DP_1","00O2TNJGODT0K39D8MCMQOI10","4000","4100")</f>
        <v>7528570688.6700001</v>
      </c>
      <c r="AJ30" s="2">
        <f>[2]!BexGetData("DP_1","00O2TNJGODT0K39D8MCMQPJYC","4000","4100")</f>
        <v>8181202725.9200001</v>
      </c>
      <c r="AK30" s="2">
        <f>[2]!BexGetData("DP_1","00O2TNJGODT0K39D8MCMQQLVO","4000","4100")</f>
        <v>7893418774.1999998</v>
      </c>
      <c r="AL30" s="2">
        <f>[2]!BexGetData("DP_1","00O2TNJGODT0K39D8MCMQRNT0","4000","4100")</f>
        <v>9413996832.75</v>
      </c>
      <c r="AM30" s="2">
        <f>[2]!BexGetData("DP_1","00O2TNJGODT0K39D8MCMQSW1W","4000","4100")</f>
        <v>616058054.12</v>
      </c>
      <c r="AN30" s="2">
        <f>[2]!BexGetData("DP_1","00O2TNJGODT0K39D8MCMQT8P0","4000","4100")</f>
        <v>548360218.33000004</v>
      </c>
      <c r="AO30" s="2">
        <f>[2]!BexGetData("DP_1","00O2TNJGODT0K39D8MCMQUGXW","4000","4100")</f>
        <v>34181607293.990002</v>
      </c>
      <c r="AP30" s="6">
        <f>[2]!BexGetData("DP_1","00O2TNJGODT0K39D8MCMQUN9G","4000","4100")</f>
        <v>1.16471839626454</v>
      </c>
      <c r="AQ30" s="6">
        <f>[2]!BexGetData("DP_1","00O2TNJGODT0K39D8MCMQUZWK","4000","4100")</f>
        <v>1.16471839626454</v>
      </c>
      <c r="AR30" s="2">
        <f>[2]!BexGetData("DP_1","00O2TNJGODT0K39D8MCMQWR44","4000","4100")</f>
        <v>31019592678.41</v>
      </c>
      <c r="AS30" s="16">
        <f>[2]!BexGetData("DP_1","00O2TNJGODT0K39D8MCMQXGEC","4000","4100")</f>
        <v>1.08425817915621</v>
      </c>
      <c r="AT30" s="2">
        <f>[2]!BexGetData("DP_1","00O2TNJGODT0K39D8MCMQXMPW","4000","4100")</f>
        <v>2613654397.25</v>
      </c>
      <c r="AU30" s="5">
        <f>[2]!BexGetData("DP_1","00O2TNJGODT0K39D8MCMQXT1G","4000","4100")</f>
        <v>0</v>
      </c>
    </row>
    <row r="31" spans="1:47" x14ac:dyDescent="0.2">
      <c r="A31" s="1" t="s">
        <v>12</v>
      </c>
      <c r="B31" s="1" t="s">
        <v>98</v>
      </c>
      <c r="C31" s="2">
        <f>[2]!BexGetData("DP_1","00O2TNJGODT0K39D8MCMQEUDG","4000","4200")</f>
        <v>33122996</v>
      </c>
      <c r="D31" s="3">
        <f>[2]!BexGetData("DP_1","00O2TNJGODT0K39D8MCMQF0P0","4000","4200")</f>
        <v>8430748</v>
      </c>
      <c r="E31" s="3">
        <f>[2]!BexGetData("DP_1","00O2TNJGODT0K39D8MCMQF70K","4000","4200")</f>
        <v>8430748</v>
      </c>
      <c r="F31" s="3">
        <f>[2]!BexGetData("DP_1","00O2TNJGODT0K39D8MCMQFDC4","4000","4200")</f>
        <v>8230748</v>
      </c>
      <c r="G31" s="3">
        <f>[2]!BexGetData("DP_1","00O2TNJGODT0K39D8MCMQFJNO","4000","4200")</f>
        <v>8030752</v>
      </c>
      <c r="H31" s="2">
        <f>[2]!BexGetData("DP_1","00O2TNJGODT0K39D8MCMQGLL0","4000","4200")</f>
        <v>23569992.52</v>
      </c>
      <c r="I31" s="2">
        <f>[2]!BexGetData("DP_1","00O2TNJGODT0K39D8MCMQHNIC","4000","4200")</f>
        <v>-17668104.52</v>
      </c>
      <c r="J31" s="2">
        <f>[2]!BexGetData("DP_1","00O2TNJGODT0K3B5ZBNSUNZD9","4000","4200")</f>
        <v>5901888</v>
      </c>
      <c r="K31" s="2">
        <f>[2]!BexGetData("DP_1","00O2TNJGODT0K39D8MCMQHTTW","4000","4200")</f>
        <v>39024884</v>
      </c>
      <c r="L31" s="2">
        <f>[2]!BexGetData("DP_1","00O2TNJGODT0K39D8MCMQI05G","4000","4200")</f>
        <v>8430748</v>
      </c>
      <c r="M31" s="2">
        <f>[2]!BexGetData("DP_1","00O2TNJGODT0K39D8MCMQI6H0","4000","4200")</f>
        <v>6430748</v>
      </c>
      <c r="N31" s="2">
        <f>[2]!BexGetData("DP_1","00O2TNJGODT0K39D8MCMQICSK","4000","4200")</f>
        <v>8212565.2699999996</v>
      </c>
      <c r="O31" s="2">
        <f>[2]!BexGetData("DP_1","00O2TNJGODT0K39D8MCMQIJ44","4000","4200")</f>
        <v>15950822.73</v>
      </c>
      <c r="P31" s="4" t="str">
        <f>[2]!BexGetData("DP_1","00O2TNJGODT0K39D8MCMQIVR8","4000","4200")</f>
        <v/>
      </c>
      <c r="Q31" s="2">
        <f>[2]!BexGetData("DP_1","00O2TNJGODT0K39D8MCMQJ22S","4000","4200")</f>
        <v>39024884</v>
      </c>
      <c r="R31" s="2">
        <f>[2]!BexGetData("DP_1","00O2TNJGODT0K39D8MCMQJRD0","4000","4200")</f>
        <v>39024884</v>
      </c>
      <c r="S31" s="2">
        <f>[2]!BexGetData("DP_1","00O2TNJGODT0K39D8MCMQLIKK","4000","4200")</f>
        <v>-39024884</v>
      </c>
      <c r="T31" s="5">
        <f>[2]!BexGetData("DP_1","00O2TNJGODT0K39D8MCMQLOW4","4000","4200")</f>
        <v>0</v>
      </c>
      <c r="U31" s="2">
        <f>[2]!BexGetData("DP_1","00O2TNJGODT0K39D8MCMQJXOK","4000","4200")</f>
        <v>39024884</v>
      </c>
      <c r="V31" s="2">
        <f>[2]!BexGetData("DP_1","00O2TNJGODT0K39D8MCMQO5DW","4000","4200")</f>
        <v>6869036</v>
      </c>
      <c r="W31" s="2">
        <f>[2]!BexGetData("DP_1","00O2TNJGODT0K39D8MCMQP7B8","4000","4200")</f>
        <v>9820228</v>
      </c>
      <c r="X31" s="2">
        <f>[2]!BexGetData("DP_1","00O2TNJGODT0K39D8MCMQQ98K","4000","4200")</f>
        <v>11765115</v>
      </c>
      <c r="Y31" s="2">
        <f>[2]!BexGetData("DP_1","00O2TNJGODT0K39D8MCMQRB5W","4000","4200")</f>
        <v>10570505</v>
      </c>
      <c r="Z31" s="5">
        <f>[2]!BexGetData("DP_1","00O2TNJGODT0K39D8MCMQSD38","4000","4200")</f>
        <v>0</v>
      </c>
      <c r="AA31" s="5">
        <f>[2]!BexGetData("DP_1","00O2TNJGODT0K39D8MCMQSJES","4000","4200")</f>
        <v>0</v>
      </c>
      <c r="AB31" s="2">
        <f>[2]!BexGetData("DP_1","00O2TNJGODT0K39D8MCMQKABO","4000","4200")</f>
        <v>39024884</v>
      </c>
      <c r="AC31" s="2">
        <f>[2]!BexGetData("DP_1","00O2TNJGODT0K39D8MCMQOBPG","4000","4200")</f>
        <v>6869036</v>
      </c>
      <c r="AD31" s="2">
        <f>[2]!BexGetData("DP_1","00O2TNJGODT0K39D8MCMQPDMS","4000","4200")</f>
        <v>9820228</v>
      </c>
      <c r="AE31" s="2">
        <f>[2]!BexGetData("DP_1","00O2TNJGODT0K39D8MCMQQFK4","4000","4200")</f>
        <v>11765115</v>
      </c>
      <c r="AF31" s="2">
        <f>[2]!BexGetData("DP_1","00O2TNJGODT0K39D8MCMQRHHG","4000","4200")</f>
        <v>10570505</v>
      </c>
      <c r="AG31" s="5">
        <f>[2]!BexGetData("DP_1","00O2TNJGODT0K39D8MCMQSPQC","4000","4200")</f>
        <v>0</v>
      </c>
      <c r="AH31" s="2">
        <f>[2]!BexGetData("DP_1","00O2TNE7L9CBERF5UWFY00YGS","4000","4200")</f>
        <v>39024884</v>
      </c>
      <c r="AI31" s="2">
        <f>[2]!BexGetData("DP_1","00O2TNJGODT0K39D8MCMQOI10","4000","4200")</f>
        <v>6869036</v>
      </c>
      <c r="AJ31" s="2">
        <f>[2]!BexGetData("DP_1","00O2TNJGODT0K39D8MCMQPJYC","4000","4200")</f>
        <v>9820228</v>
      </c>
      <c r="AK31" s="2">
        <f>[2]!BexGetData("DP_1","00O2TNJGODT0K39D8MCMQQLVO","4000","4200")</f>
        <v>11765115</v>
      </c>
      <c r="AL31" s="2">
        <f>[2]!BexGetData("DP_1","00O2TNJGODT0K39D8MCMQRNT0","4000","4200")</f>
        <v>10570505</v>
      </c>
      <c r="AM31" s="5">
        <f>[2]!BexGetData("DP_1","00O2TNJGODT0K39D8MCMQSW1W","4000","4200")</f>
        <v>0</v>
      </c>
      <c r="AN31" s="5">
        <f>[2]!BexGetData("DP_1","00O2TNJGODT0K39D8MCMQT8P0","4000","4200")</f>
        <v>0</v>
      </c>
      <c r="AO31" s="2">
        <f>[2]!BexGetData("DP_1","00O2TNJGODT0K39D8MCMQUGXW","4000","4200")</f>
        <v>39024884</v>
      </c>
      <c r="AP31" s="6">
        <f>[2]!BexGetData("DP_1","00O2TNJGODT0K39D8MCMQUN9G","4000","4200")</f>
        <v>1.1781809833868899</v>
      </c>
      <c r="AQ31" s="6">
        <f>[2]!BexGetData("DP_1","00O2TNJGODT0K39D8MCMQUZWK","4000","4200")</f>
        <v>1.1781809833868899</v>
      </c>
      <c r="AR31" s="2">
        <f>[2]!BexGetData("DP_1","00O2TNJGODT0K39D8MCMQWR44","4000","4200")</f>
        <v>43994811</v>
      </c>
      <c r="AS31" s="16">
        <f>[2]!BexGetData("DP_1","00O2TNJGODT0K39D8MCMQXGEC","4000","4200")</f>
        <v>0.88703379132598004</v>
      </c>
      <c r="AT31" s="2">
        <f>[2]!BexGetData("DP_1","00O2TNJGODT0K39D8MCMQXMPW","4000","4200")</f>
        <v>-4969927</v>
      </c>
      <c r="AU31" s="5">
        <f>[2]!BexGetData("DP_1","00O2TNJGODT0K39D8MCMQXT1G","4000","4200")</f>
        <v>0</v>
      </c>
    </row>
    <row r="32" spans="1:47" x14ac:dyDescent="0.2">
      <c r="A32" s="1" t="s">
        <v>12</v>
      </c>
      <c r="B32" s="1" t="s">
        <v>107</v>
      </c>
      <c r="C32" s="2">
        <f>[2]!BexGetData("DP_1","00O2TNJGODT0K39D8MCMQEUDG","4000","4300")</f>
        <v>553541081</v>
      </c>
      <c r="D32" s="3">
        <f>[2]!BexGetData("DP_1","00O2TNJGODT0K39D8MCMQF0P0","4000","4300")</f>
        <v>10506254</v>
      </c>
      <c r="E32" s="3">
        <f>[2]!BexGetData("DP_1","00O2TNJGODT0K39D8MCMQF70K","4000","4300")</f>
        <v>522142835</v>
      </c>
      <c r="F32" s="3">
        <f>[2]!BexGetData("DP_1","00O2TNJGODT0K39D8MCMQFDC4","4000","4300")</f>
        <v>17441944</v>
      </c>
      <c r="G32" s="3">
        <f>[2]!BexGetData("DP_1","00O2TNJGODT0K39D8MCMQFJNO","4000","4300")</f>
        <v>3450048</v>
      </c>
      <c r="H32" s="2">
        <f>[2]!BexGetData("DP_1","00O2TNJGODT0K39D8MCMQGLL0","4000","4300")</f>
        <v>1210985229.75</v>
      </c>
      <c r="I32" s="2">
        <f>[2]!BexGetData("DP_1","00O2TNJGODT0K39D8MCMQHNIC","4000","4300")</f>
        <v>-1050317643.51</v>
      </c>
      <c r="J32" s="2">
        <f>[2]!BexGetData("DP_1","00O2TNJGODT0K3B5ZBNSUNZD9","4000","4300")</f>
        <v>160667586.24000001</v>
      </c>
      <c r="K32" s="2">
        <f>[2]!BexGetData("DP_1","00O2TNJGODT0K39D8MCMQHTTW","4000","4300")</f>
        <v>714208667.24000001</v>
      </c>
      <c r="L32" s="2">
        <f>[2]!BexGetData("DP_1","00O2TNJGODT0K39D8MCMQI05G","4000","4300")</f>
        <v>34981345.289999999</v>
      </c>
      <c r="M32" s="2">
        <f>[2]!BexGetData("DP_1","00O2TNJGODT0K39D8MCMQI6H0","4000","4300")</f>
        <v>587556189.87</v>
      </c>
      <c r="N32" s="2">
        <f>[2]!BexGetData("DP_1","00O2TNJGODT0K39D8MCMQICSK","4000","4300")</f>
        <v>-58299338.869999997</v>
      </c>
      <c r="O32" s="2">
        <f>[2]!BexGetData("DP_1","00O2TNJGODT0K39D8MCMQIJ44","4000","4300")</f>
        <v>149970470.94999999</v>
      </c>
      <c r="P32" s="4" t="str">
        <f>[2]!BexGetData("DP_1","00O2TNJGODT0K39D8MCMQIVR8","4000","4300")</f>
        <v/>
      </c>
      <c r="Q32" s="2">
        <f>[2]!BexGetData("DP_1","00O2TNJGODT0K39D8MCMQJ22S","4000","4300")</f>
        <v>714208667.24000001</v>
      </c>
      <c r="R32" s="2">
        <f>[2]!BexGetData("DP_1","00O2TNJGODT0K39D8MCMQJRD0","4000","4300")</f>
        <v>713741412.91999996</v>
      </c>
      <c r="S32" s="2">
        <f>[2]!BexGetData("DP_1","00O2TNJGODT0K39D8MCMQLIKK","4000","4300")</f>
        <v>-713741412.91999996</v>
      </c>
      <c r="T32" s="2">
        <f>[2]!BexGetData("DP_1","00O2TNJGODT0K39D8MCMQLOW4","4000","4300")</f>
        <v>467254.32</v>
      </c>
      <c r="U32" s="2">
        <f>[2]!BexGetData("DP_1","00O2TNJGODT0K39D8MCMQJXOK","4000","4300")</f>
        <v>713741412.90999997</v>
      </c>
      <c r="V32" s="2">
        <f>[2]!BexGetData("DP_1","00O2TNJGODT0K39D8MCMQO5DW","4000","4300")</f>
        <v>82927417.640000001</v>
      </c>
      <c r="W32" s="2">
        <f>[2]!BexGetData("DP_1","00O2TNJGODT0K39D8MCMQP7B8","4000","4300")</f>
        <v>124883744.34999999</v>
      </c>
      <c r="X32" s="2">
        <f>[2]!BexGetData("DP_1","00O2TNJGODT0K39D8MCMQQ98K","4000","4300")</f>
        <v>187633865.41999999</v>
      </c>
      <c r="Y32" s="2">
        <f>[2]!BexGetData("DP_1","00O2TNJGODT0K39D8MCMQRB5W","4000","4300")</f>
        <v>318296385.5</v>
      </c>
      <c r="Z32" s="2">
        <f>[2]!BexGetData("DP_1","00O2TNJGODT0K39D8MCMQSD38","4000","4300")</f>
        <v>0.01</v>
      </c>
      <c r="AA32" s="2">
        <f>[2]!BexGetData("DP_1","00O2TNJGODT0K39D8MCMQSJES","4000","4300")</f>
        <v>467254.33</v>
      </c>
      <c r="AB32" s="2">
        <f>[2]!BexGetData("DP_1","00O2TNJGODT0K39D8MCMQKABO","4000","4300")</f>
        <v>713741412.90999997</v>
      </c>
      <c r="AC32" s="2">
        <f>[2]!BexGetData("DP_1","00O2TNJGODT0K39D8MCMQOBPG","4000","4300")</f>
        <v>82927417.640000001</v>
      </c>
      <c r="AD32" s="2">
        <f>[2]!BexGetData("DP_1","00O2TNJGODT0K39D8MCMQPDMS","4000","4300")</f>
        <v>124883744.34999999</v>
      </c>
      <c r="AE32" s="2">
        <f>[2]!BexGetData("DP_1","00O2TNJGODT0K39D8MCMQQFK4","4000","4300")</f>
        <v>187633865.41999999</v>
      </c>
      <c r="AF32" s="2">
        <f>[2]!BexGetData("DP_1","00O2TNJGODT0K39D8MCMQRHHG","4000","4300")</f>
        <v>318296385.5</v>
      </c>
      <c r="AG32" s="5">
        <f>[2]!BexGetData("DP_1","00O2TNJGODT0K39D8MCMQSPQC","4000","4300")</f>
        <v>0</v>
      </c>
      <c r="AH32" s="2">
        <f>[2]!BexGetData("DP_1","00O2TNE7L9CBERF5UWFY00YGS","4000","4300")</f>
        <v>561360970.20000005</v>
      </c>
      <c r="AI32" s="2">
        <f>[2]!BexGetData("DP_1","00O2TNJGODT0K39D8MCMQOI10","4000","4300")</f>
        <v>82409344.049999997</v>
      </c>
      <c r="AJ32" s="2">
        <f>[2]!BexGetData("DP_1","00O2TNJGODT0K39D8MCMQPJYC","4000","4300")</f>
        <v>99201568.170000002</v>
      </c>
      <c r="AK32" s="2">
        <f>[2]!BexGetData("DP_1","00O2TNJGODT0K39D8MCMQQLVO","4000","4300")</f>
        <v>196637108.58000001</v>
      </c>
      <c r="AL32" s="2">
        <f>[2]!BexGetData("DP_1","00O2TNJGODT0K39D8MCMQRNT0","4000","4300")</f>
        <v>183112949.40000001</v>
      </c>
      <c r="AM32" s="2">
        <f>[2]!BexGetData("DP_1","00O2TNJGODT0K39D8MCMQSW1W","4000","4300")</f>
        <v>152380442.71000001</v>
      </c>
      <c r="AN32" s="2">
        <f>[2]!BexGetData("DP_1","00O2TNJGODT0K39D8MCMQT8P0","4000","4300")</f>
        <v>467254.33</v>
      </c>
      <c r="AO32" s="2">
        <f>[2]!BexGetData("DP_1","00O2TNJGODT0K39D8MCMQUGXW","4000","4300")</f>
        <v>714208667.24000001</v>
      </c>
      <c r="AP32" s="6">
        <f>[2]!BexGetData("DP_1","00O2TNJGODT0K39D8MCMQUN9G","4000","4300")</f>
        <v>1.28941001383419</v>
      </c>
      <c r="AQ32" s="6">
        <f>[2]!BexGetData("DP_1","00O2TNJGODT0K39D8MCMQUZWK","4000","4300")</f>
        <v>1.28941001383419</v>
      </c>
      <c r="AR32" s="2">
        <f>[2]!BexGetData("DP_1","00O2TNJGODT0K39D8MCMQWR44","4000","4300")</f>
        <v>534860897.88999999</v>
      </c>
      <c r="AS32" s="16">
        <f>[2]!BexGetData("DP_1","00O2TNJGODT0K39D8MCMQXGEC","4000","4300")</f>
        <v>1.3344430593555701</v>
      </c>
      <c r="AT32" s="2">
        <f>[2]!BexGetData("DP_1","00O2TNJGODT0K39D8MCMQXMPW","4000","4300")</f>
        <v>178880515.02000001</v>
      </c>
      <c r="AU32" s="5">
        <f>[2]!BexGetData("DP_1","00O2TNJGODT0K39D8MCMQXT1G","4000","4300")</f>
        <v>0</v>
      </c>
    </row>
    <row r="33" spans="1:47" x14ac:dyDescent="0.2">
      <c r="A33" s="1" t="s">
        <v>12</v>
      </c>
      <c r="B33" s="1" t="s">
        <v>99</v>
      </c>
      <c r="C33" s="2">
        <f>[2]!BexGetData("DP_1","00O2TNJGODT0K39D8MCMQEUDG","4000","4400")</f>
        <v>768605586.22000003</v>
      </c>
      <c r="D33" s="3">
        <f>[2]!BexGetData("DP_1","00O2TNJGODT0K39D8MCMQF0P0","4000","4400")</f>
        <v>201863618.69999999</v>
      </c>
      <c r="E33" s="3">
        <f>[2]!BexGetData("DP_1","00O2TNJGODT0K39D8MCMQF70K","4000","4400")</f>
        <v>246253360.90000001</v>
      </c>
      <c r="F33" s="3">
        <f>[2]!BexGetData("DP_1","00O2TNJGODT0K39D8MCMQFDC4","4000","4400")</f>
        <v>166017444.90000001</v>
      </c>
      <c r="G33" s="3">
        <f>[2]!BexGetData("DP_1","00O2TNJGODT0K39D8MCMQFJNO","4000","4400")</f>
        <v>154471161.72</v>
      </c>
      <c r="H33" s="2">
        <f>[2]!BexGetData("DP_1","00O2TNJGODT0K39D8MCMQGLL0","4000","4400")</f>
        <v>623849546.07000005</v>
      </c>
      <c r="I33" s="2">
        <f>[2]!BexGetData("DP_1","00O2TNJGODT0K39D8MCMQHNIC","4000","4400")</f>
        <v>-454825704.37</v>
      </c>
      <c r="J33" s="2">
        <f>[2]!BexGetData("DP_1","00O2TNJGODT0K3B5ZBNSUNZD9","4000","4400")</f>
        <v>169023841.69999999</v>
      </c>
      <c r="K33" s="2">
        <f>[2]!BexGetData("DP_1","00O2TNJGODT0K39D8MCMQHTTW","4000","4400")</f>
        <v>937629427.91999996</v>
      </c>
      <c r="L33" s="2">
        <f>[2]!BexGetData("DP_1","00O2TNJGODT0K39D8MCMQI05G","4000","4400")</f>
        <v>280489837.37</v>
      </c>
      <c r="M33" s="2">
        <f>[2]!BexGetData("DP_1","00O2TNJGODT0K39D8MCMQI6H0","4000","4400")</f>
        <v>238536005.47999999</v>
      </c>
      <c r="N33" s="2">
        <f>[2]!BexGetData("DP_1","00O2TNJGODT0K39D8MCMQICSK","4000","4400")</f>
        <v>184450903.65000001</v>
      </c>
      <c r="O33" s="2">
        <f>[2]!BexGetData("DP_1","00O2TNJGODT0K39D8MCMQIJ44","4000","4400")</f>
        <v>234152681.41999999</v>
      </c>
      <c r="P33" s="4" t="str">
        <f>[2]!BexGetData("DP_1","00O2TNJGODT0K39D8MCMQIVR8","4000","4400")</f>
        <v/>
      </c>
      <c r="Q33" s="2">
        <f>[2]!BexGetData("DP_1","00O2TNJGODT0K39D8MCMQJ22S","4000","4400")</f>
        <v>937629427.91999996</v>
      </c>
      <c r="R33" s="2">
        <f>[2]!BexGetData("DP_1","00O2TNJGODT0K39D8MCMQJRD0","4000","4400")</f>
        <v>937617206.71000004</v>
      </c>
      <c r="S33" s="2">
        <f>[2]!BexGetData("DP_1","00O2TNJGODT0K39D8MCMQLIKK","4000","4400")</f>
        <v>-937617206.71000004</v>
      </c>
      <c r="T33" s="2">
        <f>[2]!BexGetData("DP_1","00O2TNJGODT0K39D8MCMQLOW4","4000","4400")</f>
        <v>12221.21</v>
      </c>
      <c r="U33" s="2">
        <f>[2]!BexGetData("DP_1","00O2TNJGODT0K39D8MCMQJXOK","4000","4400")</f>
        <v>937004983.05999994</v>
      </c>
      <c r="V33" s="2">
        <f>[2]!BexGetData("DP_1","00O2TNJGODT0K39D8MCMQO5DW","4000","4400")</f>
        <v>218872809.94</v>
      </c>
      <c r="W33" s="2">
        <f>[2]!BexGetData("DP_1","00O2TNJGODT0K39D8MCMQP7B8","4000","4400")</f>
        <v>252621867.84999999</v>
      </c>
      <c r="X33" s="2">
        <f>[2]!BexGetData("DP_1","00O2TNJGODT0K39D8MCMQQ98K","4000","4400")</f>
        <v>190375878.58000001</v>
      </c>
      <c r="Y33" s="2">
        <f>[2]!BexGetData("DP_1","00O2TNJGODT0K39D8MCMQRB5W","4000","4400")</f>
        <v>275134426.69</v>
      </c>
      <c r="Z33" s="2">
        <f>[2]!BexGetData("DP_1","00O2TNJGODT0K39D8MCMQSD38","4000","4400")</f>
        <v>612223.65</v>
      </c>
      <c r="AA33" s="2">
        <f>[2]!BexGetData("DP_1","00O2TNJGODT0K39D8MCMQSJES","4000","4400")</f>
        <v>624444.86</v>
      </c>
      <c r="AB33" s="2">
        <f>[2]!BexGetData("DP_1","00O2TNJGODT0K39D8MCMQKABO","4000","4400")</f>
        <v>937004983.05999994</v>
      </c>
      <c r="AC33" s="2">
        <f>[2]!BexGetData("DP_1","00O2TNJGODT0K39D8MCMQOBPG","4000","4400")</f>
        <v>218872809.94</v>
      </c>
      <c r="AD33" s="2">
        <f>[2]!BexGetData("DP_1","00O2TNJGODT0K39D8MCMQPDMS","4000","4400")</f>
        <v>252621867.84999999</v>
      </c>
      <c r="AE33" s="2">
        <f>[2]!BexGetData("DP_1","00O2TNJGODT0K39D8MCMQQFK4","4000","4400")</f>
        <v>190375878.58000001</v>
      </c>
      <c r="AF33" s="2">
        <f>[2]!BexGetData("DP_1","00O2TNJGODT0K39D8MCMQRHHG","4000","4400")</f>
        <v>275134426.69</v>
      </c>
      <c r="AG33" s="5">
        <f>[2]!BexGetData("DP_1","00O2TNJGODT0K39D8MCMQSPQC","4000","4400")</f>
        <v>0</v>
      </c>
      <c r="AH33" s="2">
        <f>[2]!BexGetData("DP_1","00O2TNE7L9CBERF5UWFY00YGS","4000","4400")</f>
        <v>844476741.30999994</v>
      </c>
      <c r="AI33" s="2">
        <f>[2]!BexGetData("DP_1","00O2TNJGODT0K39D8MCMQOI10","4000","4400")</f>
        <v>142539993.12</v>
      </c>
      <c r="AJ33" s="2">
        <f>[2]!BexGetData("DP_1","00O2TNJGODT0K39D8MCMQPJYC","4000","4400")</f>
        <v>223099720.13</v>
      </c>
      <c r="AK33" s="2">
        <f>[2]!BexGetData("DP_1","00O2TNJGODT0K39D8MCMQQLVO","4000","4400")</f>
        <v>204208729.63</v>
      </c>
      <c r="AL33" s="2">
        <f>[2]!BexGetData("DP_1","00O2TNJGODT0K39D8MCMQRNT0","4000","4400")</f>
        <v>274628298.43000001</v>
      </c>
      <c r="AM33" s="2">
        <f>[2]!BexGetData("DP_1","00O2TNJGODT0K39D8MCMQSW1W","4000","4400")</f>
        <v>92528241.75</v>
      </c>
      <c r="AN33" s="2">
        <f>[2]!BexGetData("DP_1","00O2TNJGODT0K39D8MCMQT8P0","4000","4400")</f>
        <v>624444.86</v>
      </c>
      <c r="AO33" s="2">
        <f>[2]!BexGetData("DP_1","00O2TNJGODT0K39D8MCMQUGXW","4000","4400")</f>
        <v>937629427.91999996</v>
      </c>
      <c r="AP33" s="6">
        <f>[2]!BexGetData("DP_1","00O2TNJGODT0K39D8MCMQUN9G","4000","4400")</f>
        <v>1.21909728456202</v>
      </c>
      <c r="AQ33" s="6">
        <f>[2]!BexGetData("DP_1","00O2TNJGODT0K39D8MCMQUZWK","4000","4400")</f>
        <v>1.21909728456202</v>
      </c>
      <c r="AR33" s="2">
        <f>[2]!BexGetData("DP_1","00O2TNJGODT0K39D8MCMQWR44","4000","4400")</f>
        <v>812499236.32000005</v>
      </c>
      <c r="AS33" s="16">
        <f>[2]!BexGetData("DP_1","00O2TNJGODT0K39D8MCMQXGEC","4000","4400")</f>
        <v>1.1532379861720401</v>
      </c>
      <c r="AT33" s="2">
        <f>[2]!BexGetData("DP_1","00O2TNJGODT0K39D8MCMQXMPW","4000","4400")</f>
        <v>124505746.73999999</v>
      </c>
      <c r="AU33" s="5">
        <f>[2]!BexGetData("DP_1","00O2TNJGODT0K39D8MCMQXT1G","4000","4400")</f>
        <v>0</v>
      </c>
    </row>
    <row r="34" spans="1:47" x14ac:dyDescent="0.2">
      <c r="A34" s="1" t="s">
        <v>12</v>
      </c>
      <c r="B34" s="1" t="s">
        <v>122</v>
      </c>
      <c r="C34" s="4" t="str">
        <f>[2]!BexGetData("DP_1","00O2TNJGODT0K39D8MCMQEUDG","4000","4500")</f>
        <v/>
      </c>
      <c r="D34" s="4" t="str">
        <f>[2]!BexGetData("DP_1","00O2TNJGODT0K39D8MCMQF0P0","4000","4500")</f>
        <v/>
      </c>
      <c r="E34" s="4" t="str">
        <f>[2]!BexGetData("DP_1","00O2TNJGODT0K39D8MCMQF70K","4000","4500")</f>
        <v/>
      </c>
      <c r="F34" s="4" t="str">
        <f>[2]!BexGetData("DP_1","00O2TNJGODT0K39D8MCMQFDC4","4000","4500")</f>
        <v/>
      </c>
      <c r="G34" s="4" t="str">
        <f>[2]!BexGetData("DP_1","00O2TNJGODT0K39D8MCMQFJNO","4000","4500")</f>
        <v/>
      </c>
      <c r="H34" s="2">
        <f>[2]!BexGetData("DP_1","00O2TNJGODT0K39D8MCMQGLL0","4000","4500")</f>
        <v>80525603.579999998</v>
      </c>
      <c r="I34" s="2">
        <f>[2]!BexGetData("DP_1","00O2TNJGODT0K39D8MCMQHNIC","4000","4500")</f>
        <v>-76304657.049999997</v>
      </c>
      <c r="J34" s="2">
        <f>[2]!BexGetData("DP_1","00O2TNJGODT0K3B5ZBNSUNZD9","4000","4500")</f>
        <v>4220946.53</v>
      </c>
      <c r="K34" s="2">
        <f>[2]!BexGetData("DP_1","00O2TNJGODT0K39D8MCMQHTTW","4000","4500")</f>
        <v>4220946.53</v>
      </c>
      <c r="L34" s="4" t="str">
        <f>[2]!BexGetData("DP_1","00O2TNJGODT0K39D8MCMQI05G","4000","4500")</f>
        <v/>
      </c>
      <c r="M34" s="4" t="str">
        <f>[2]!BexGetData("DP_1","00O2TNJGODT0K39D8MCMQI6H0","4000","4500")</f>
        <v/>
      </c>
      <c r="N34" s="2">
        <f>[2]!BexGetData("DP_1","00O2TNJGODT0K39D8MCMQICSK","4000","4500")</f>
        <v>23735898.68</v>
      </c>
      <c r="O34" s="2">
        <f>[2]!BexGetData("DP_1","00O2TNJGODT0K39D8MCMQIJ44","4000","4500")</f>
        <v>-19514952.149999999</v>
      </c>
      <c r="P34" s="4" t="str">
        <f>[2]!BexGetData("DP_1","00O2TNJGODT0K39D8MCMQIVR8","4000","4500")</f>
        <v/>
      </c>
      <c r="Q34" s="2">
        <f>[2]!BexGetData("DP_1","00O2TNJGODT0K39D8MCMQJ22S","4000","4500")</f>
        <v>4220946.53</v>
      </c>
      <c r="R34" s="4" t="str">
        <f>[2]!BexGetData("DP_1","00O2TNJGODT0K39D8MCMQJRD0","4000","4500")</f>
        <v/>
      </c>
      <c r="S34" s="4" t="str">
        <f>[2]!BexGetData("DP_1","00O2TNJGODT0K39D8MCMQLIKK","4000","4500")</f>
        <v/>
      </c>
      <c r="T34" s="2">
        <f>[2]!BexGetData("DP_1","00O2TNJGODT0K39D8MCMQLOW4","4000","4500")</f>
        <v>4220946.53</v>
      </c>
      <c r="U34" s="4" t="str">
        <f>[2]!BexGetData("DP_1","00O2TNJGODT0K39D8MCMQJXOK","4000","4500")</f>
        <v/>
      </c>
      <c r="V34" s="5">
        <f>[2]!BexGetData("DP_1","00O2TNJGODT0K39D8MCMQO5DW","4000","4500")</f>
        <v>0</v>
      </c>
      <c r="W34" s="5">
        <f>[2]!BexGetData("DP_1","00O2TNJGODT0K39D8MCMQP7B8","4000","4500")</f>
        <v>0</v>
      </c>
      <c r="X34" s="5">
        <f>[2]!BexGetData("DP_1","00O2TNJGODT0K39D8MCMQQ98K","4000","4500")</f>
        <v>0</v>
      </c>
      <c r="Y34" s="5">
        <f>[2]!BexGetData("DP_1","00O2TNJGODT0K39D8MCMQRB5W","4000","4500")</f>
        <v>0</v>
      </c>
      <c r="Z34" s="5">
        <f>[2]!BexGetData("DP_1","00O2TNJGODT0K39D8MCMQSD38","4000","4500")</f>
        <v>0</v>
      </c>
      <c r="AA34" s="2">
        <f>[2]!BexGetData("DP_1","00O2TNJGODT0K39D8MCMQSJES","4000","4500")</f>
        <v>4220946.53</v>
      </c>
      <c r="AB34" s="4" t="str">
        <f>[2]!BexGetData("DP_1","00O2TNJGODT0K39D8MCMQKABO","4000","4500")</f>
        <v/>
      </c>
      <c r="AC34" s="5">
        <f>[2]!BexGetData("DP_1","00O2TNJGODT0K39D8MCMQOBPG","4000","4500")</f>
        <v>0</v>
      </c>
      <c r="AD34" s="5">
        <f>[2]!BexGetData("DP_1","00O2TNJGODT0K39D8MCMQPDMS","4000","4500")</f>
        <v>0</v>
      </c>
      <c r="AE34" s="5">
        <f>[2]!BexGetData("DP_1","00O2TNJGODT0K39D8MCMQQFK4","4000","4500")</f>
        <v>0</v>
      </c>
      <c r="AF34" s="5">
        <f>[2]!BexGetData("DP_1","00O2TNJGODT0K39D8MCMQRHHG","4000","4500")</f>
        <v>0</v>
      </c>
      <c r="AG34" s="4" t="str">
        <f>[2]!BexGetData("DP_1","00O2TNJGODT0K39D8MCMQSPQC","4000","4500")</f>
        <v/>
      </c>
      <c r="AH34" s="4" t="str">
        <f>[2]!BexGetData("DP_1","00O2TNE7L9CBERF5UWFY00YGS","4000","4500")</f>
        <v/>
      </c>
      <c r="AI34" s="5">
        <f>[2]!BexGetData("DP_1","00O2TNJGODT0K39D8MCMQOI10","4000","4500")</f>
        <v>0</v>
      </c>
      <c r="AJ34" s="5">
        <f>[2]!BexGetData("DP_1","00O2TNJGODT0K39D8MCMQPJYC","4000","4500")</f>
        <v>0</v>
      </c>
      <c r="AK34" s="5">
        <f>[2]!BexGetData("DP_1","00O2TNJGODT0K39D8MCMQQLVO","4000","4500")</f>
        <v>0</v>
      </c>
      <c r="AL34" s="5">
        <f>[2]!BexGetData("DP_1","00O2TNJGODT0K39D8MCMQRNT0","4000","4500")</f>
        <v>0</v>
      </c>
      <c r="AM34" s="4" t="str">
        <f>[2]!BexGetData("DP_1","00O2TNJGODT0K39D8MCMQSW1W","4000","4500")</f>
        <v/>
      </c>
      <c r="AN34" s="2">
        <f>[2]!BexGetData("DP_1","00O2TNJGODT0K39D8MCMQT8P0","4000","4500")</f>
        <v>4220946.53</v>
      </c>
      <c r="AO34" s="2">
        <f>[2]!BexGetData("DP_1","00O2TNJGODT0K39D8MCMQUGXW","4000","4500")</f>
        <v>4220946.53</v>
      </c>
      <c r="AP34" s="4" t="str">
        <f>[2]!BexGetData("DP_1","00O2TNJGODT0K39D8MCMQUN9G","4000","4500")</f>
        <v/>
      </c>
      <c r="AQ34" s="4" t="str">
        <f>[2]!BexGetData("DP_1","00O2TNJGODT0K39D8MCMQUZWK","4000","4500")</f>
        <v/>
      </c>
      <c r="AR34" s="2">
        <f>[2]!BexGetData("DP_1","00O2TNJGODT0K39D8MCMQWR44","4000","4500")</f>
        <v>60000000</v>
      </c>
      <c r="AS34" s="4" t="str">
        <f>[2]!BexGetData("DP_1","00O2TNJGODT0K39D8MCMQXGEC","4000","4500")</f>
        <v/>
      </c>
      <c r="AT34" s="2">
        <f>[2]!BexGetData("DP_1","00O2TNJGODT0K39D8MCMQXMPW","4000","4500")</f>
        <v>-60000000</v>
      </c>
      <c r="AU34" s="5">
        <f>[2]!BexGetData("DP_1","00O2TNJGODT0K39D8MCMQXT1G","4000","4500")</f>
        <v>0</v>
      </c>
    </row>
    <row r="35" spans="1:47" x14ac:dyDescent="0.2">
      <c r="A35" s="1" t="s">
        <v>12</v>
      </c>
      <c r="B35" s="1" t="s">
        <v>108</v>
      </c>
      <c r="C35" s="2">
        <f>[2]!BexGetData("DP_1","00O2TNJGODT0K39D8MCMQEUDG","4000","4600")</f>
        <v>4729887</v>
      </c>
      <c r="D35" s="4" t="str">
        <f>[2]!BexGetData("DP_1","00O2TNJGODT0K39D8MCMQF0P0","4000","4600")</f>
        <v/>
      </c>
      <c r="E35" s="3">
        <f>[2]!BexGetData("DP_1","00O2TNJGODT0K39D8MCMQF70K","4000","4600")</f>
        <v>3000000</v>
      </c>
      <c r="F35" s="3">
        <f>[2]!BexGetData("DP_1","00O2TNJGODT0K39D8MCMQFDC4","4000","4600")</f>
        <v>1729887</v>
      </c>
      <c r="G35" s="4" t="str">
        <f>[2]!BexGetData("DP_1","00O2TNJGODT0K39D8MCMQFJNO","4000","4600")</f>
        <v/>
      </c>
      <c r="H35" s="5">
        <f>[2]!BexGetData("DP_1","00O2TNJGODT0K39D8MCMQGLL0","4000","4600")</f>
        <v>0</v>
      </c>
      <c r="I35" s="2">
        <f>[2]!BexGetData("DP_1","00O2TNJGODT0K39D8MCMQHNIC","4000","4600")</f>
        <v>-4729887</v>
      </c>
      <c r="J35" s="2">
        <f>[2]!BexGetData("DP_1","00O2TNJGODT0K3B5ZBNSUNZD9","4000","4600")</f>
        <v>-4729887</v>
      </c>
      <c r="K35" s="5">
        <f>[2]!BexGetData("DP_1","00O2TNJGODT0K39D8MCMQHTTW","4000","4600")</f>
        <v>0</v>
      </c>
      <c r="L35" s="4" t="str">
        <f>[2]!BexGetData("DP_1","00O2TNJGODT0K39D8MCMQI05G","4000","4600")</f>
        <v/>
      </c>
      <c r="M35" s="2">
        <f>[2]!BexGetData("DP_1","00O2TNJGODT0K39D8MCMQI6H0","4000","4600")</f>
        <v>3000000</v>
      </c>
      <c r="N35" s="2">
        <f>[2]!BexGetData("DP_1","00O2TNJGODT0K39D8MCMQICSK","4000","4600")</f>
        <v>1729887</v>
      </c>
      <c r="O35" s="2">
        <f>[2]!BexGetData("DP_1","00O2TNJGODT0K39D8MCMQIJ44","4000","4600")</f>
        <v>-4729887</v>
      </c>
      <c r="P35" s="4" t="str">
        <f>[2]!BexGetData("DP_1","00O2TNJGODT0K39D8MCMQIVR8","4000","4600")</f>
        <v/>
      </c>
      <c r="Q35" s="5">
        <f>[2]!BexGetData("DP_1","00O2TNJGODT0K39D8MCMQJ22S","4000","4600")</f>
        <v>0</v>
      </c>
      <c r="R35" s="5">
        <f>[2]!BexGetData("DP_1","00O2TNJGODT0K39D8MCMQJRD0","4000","4600")</f>
        <v>0</v>
      </c>
      <c r="S35" s="5">
        <f>[2]!BexGetData("DP_1","00O2TNJGODT0K39D8MCMQLIKK","4000","4600")</f>
        <v>0</v>
      </c>
      <c r="T35" s="5">
        <f>[2]!BexGetData("DP_1","00O2TNJGODT0K39D8MCMQLOW4","4000","4600")</f>
        <v>0</v>
      </c>
      <c r="U35" s="4" t="str">
        <f>[2]!BexGetData("DP_1","00O2TNJGODT0K39D8MCMQJXOK","4000","4600")</f>
        <v/>
      </c>
      <c r="V35" s="5">
        <f>[2]!BexGetData("DP_1","00O2TNJGODT0K39D8MCMQO5DW","4000","4600")</f>
        <v>0</v>
      </c>
      <c r="W35" s="5">
        <f>[2]!BexGetData("DP_1","00O2TNJGODT0K39D8MCMQP7B8","4000","4600")</f>
        <v>0</v>
      </c>
      <c r="X35" s="5">
        <f>[2]!BexGetData("DP_1","00O2TNJGODT0K39D8MCMQQ98K","4000","4600")</f>
        <v>0</v>
      </c>
      <c r="Y35" s="5">
        <f>[2]!BexGetData("DP_1","00O2TNJGODT0K39D8MCMQRB5W","4000","4600")</f>
        <v>0</v>
      </c>
      <c r="Z35" s="5">
        <f>[2]!BexGetData("DP_1","00O2TNJGODT0K39D8MCMQSD38","4000","4600")</f>
        <v>0</v>
      </c>
      <c r="AA35" s="5">
        <f>[2]!BexGetData("DP_1","00O2TNJGODT0K39D8MCMQSJES","4000","4600")</f>
        <v>0</v>
      </c>
      <c r="AB35" s="4" t="str">
        <f>[2]!BexGetData("DP_1","00O2TNJGODT0K39D8MCMQKABO","4000","4600")</f>
        <v/>
      </c>
      <c r="AC35" s="5">
        <f>[2]!BexGetData("DP_1","00O2TNJGODT0K39D8MCMQOBPG","4000","4600")</f>
        <v>0</v>
      </c>
      <c r="AD35" s="5">
        <f>[2]!BexGetData("DP_1","00O2TNJGODT0K39D8MCMQPDMS","4000","4600")</f>
        <v>0</v>
      </c>
      <c r="AE35" s="5">
        <f>[2]!BexGetData("DP_1","00O2TNJGODT0K39D8MCMQQFK4","4000","4600")</f>
        <v>0</v>
      </c>
      <c r="AF35" s="5">
        <f>[2]!BexGetData("DP_1","00O2TNJGODT0K39D8MCMQRHHG","4000","4600")</f>
        <v>0</v>
      </c>
      <c r="AG35" s="4" t="str">
        <f>[2]!BexGetData("DP_1","00O2TNJGODT0K39D8MCMQSPQC","4000","4600")</f>
        <v/>
      </c>
      <c r="AH35" s="4" t="str">
        <f>[2]!BexGetData("DP_1","00O2TNE7L9CBERF5UWFY00YGS","4000","4600")</f>
        <v/>
      </c>
      <c r="AI35" s="5">
        <f>[2]!BexGetData("DP_1","00O2TNJGODT0K39D8MCMQOI10","4000","4600")</f>
        <v>0</v>
      </c>
      <c r="AJ35" s="5">
        <f>[2]!BexGetData("DP_1","00O2TNJGODT0K39D8MCMQPJYC","4000","4600")</f>
        <v>0</v>
      </c>
      <c r="AK35" s="5">
        <f>[2]!BexGetData("DP_1","00O2TNJGODT0K39D8MCMQQLVO","4000","4600")</f>
        <v>0</v>
      </c>
      <c r="AL35" s="5">
        <f>[2]!BexGetData("DP_1","00O2TNJGODT0K39D8MCMQRNT0","4000","4600")</f>
        <v>0</v>
      </c>
      <c r="AM35" s="4" t="str">
        <f>[2]!BexGetData("DP_1","00O2TNJGODT0K39D8MCMQSW1W","4000","4600")</f>
        <v/>
      </c>
      <c r="AN35" s="5">
        <f>[2]!BexGetData("DP_1","00O2TNJGODT0K39D8MCMQT8P0","4000","4600")</f>
        <v>0</v>
      </c>
      <c r="AO35" s="5">
        <f>[2]!BexGetData("DP_1","00O2TNJGODT0K39D8MCMQUGXW","4000","4600")</f>
        <v>0</v>
      </c>
      <c r="AP35" s="4" t="str">
        <f>[2]!BexGetData("DP_1","00O2TNJGODT0K39D8MCMQUN9G","4000","4600")</f>
        <v/>
      </c>
      <c r="AQ35" s="4" t="str">
        <f>[2]!BexGetData("DP_1","00O2TNJGODT0K39D8MCMQUZWK","4000","4600")</f>
        <v/>
      </c>
      <c r="AR35" s="4" t="str">
        <f>[2]!BexGetData("DP_1","00O2TNJGODT0K39D8MCMQWR44","4000","4600")</f>
        <v/>
      </c>
      <c r="AS35" s="4" t="str">
        <f>[2]!BexGetData("DP_1","00O2TNJGODT0K39D8MCMQXGEC","4000","4600")</f>
        <v/>
      </c>
      <c r="AT35" s="4" t="str">
        <f>[2]!BexGetData("DP_1","00O2TNJGODT0K39D8MCMQXMPW","4000","4600")</f>
        <v/>
      </c>
      <c r="AU35" s="5">
        <f>[2]!BexGetData("DP_1","00O2TNJGODT0K39D8MCMQXT1G","4000","4600")</f>
        <v>0</v>
      </c>
    </row>
    <row r="36" spans="1:47" x14ac:dyDescent="0.2">
      <c r="A36" s="1" t="s">
        <v>12</v>
      </c>
      <c r="B36" s="10" t="s">
        <v>88</v>
      </c>
      <c r="C36" s="11">
        <f>[2]!BexGetData("DP_1","00O2TNJGODT0K39D8MCMQEUDG","4000","SUMME")</f>
        <v>30236719608.5</v>
      </c>
      <c r="D36" s="12">
        <f>[2]!BexGetData("DP_1","00O2TNJGODT0K39D8MCMQF0P0","4000","SUMME")</f>
        <v>7707006822.6899996</v>
      </c>
      <c r="E36" s="12">
        <f>[2]!BexGetData("DP_1","00O2TNJGODT0K39D8MCMQF70K","4000","SUMME")</f>
        <v>8219900748.3400002</v>
      </c>
      <c r="F36" s="12">
        <f>[2]!BexGetData("DP_1","00O2TNJGODT0K39D8MCMQFDC4","4000","SUMME")</f>
        <v>6834595365.8900003</v>
      </c>
      <c r="G36" s="12">
        <f>[2]!BexGetData("DP_1","00O2TNJGODT0K39D8MCMQFJNO","4000","SUMME")</f>
        <v>7475216671.5799999</v>
      </c>
      <c r="H36" s="11">
        <f>[2]!BexGetData("DP_1","00O2TNJGODT0K39D8MCMQGLL0","4000","SUMME")</f>
        <v>28838457814.689999</v>
      </c>
      <c r="I36" s="11">
        <f>[2]!BexGetData("DP_1","00O2TNJGODT0K39D8MCMQHNIC","4000","SUMME")</f>
        <v>-23198486203.509998</v>
      </c>
      <c r="J36" s="11">
        <f>[2]!BexGetData("DP_1","00O2TNJGODT0K3B5ZBNSUNZD9","4000","SUMME")</f>
        <v>5639971611.1800003</v>
      </c>
      <c r="K36" s="11">
        <f>[2]!BexGetData("DP_1","00O2TNJGODT0K39D8MCMQHTTW","4000","SUMME")</f>
        <v>35876691219.68</v>
      </c>
      <c r="L36" s="11">
        <f>[2]!BexGetData("DP_1","00O2TNJGODT0K39D8MCMQI05G","4000","SUMME")</f>
        <v>8945302590.25</v>
      </c>
      <c r="M36" s="11">
        <f>[2]!BexGetData("DP_1","00O2TNJGODT0K39D8MCMQI6H0","4000","SUMME")</f>
        <v>9741079905.3999996</v>
      </c>
      <c r="N36" s="11">
        <f>[2]!BexGetData("DP_1","00O2TNJGODT0K39D8MCMQICSK","4000","SUMME")</f>
        <v>8080985521.1000004</v>
      </c>
      <c r="O36" s="11">
        <f>[2]!BexGetData("DP_1","00O2TNJGODT0K39D8MCMQIJ44","4000","SUMME")</f>
        <v>9109323202.9300003</v>
      </c>
      <c r="P36" s="13" t="str">
        <f>[2]!BexGetData("DP_1","00O2TNJGODT0K39D8MCMQIVR8","4000","SUMME")</f>
        <v/>
      </c>
      <c r="Q36" s="11">
        <f>[2]!BexGetData("DP_1","00O2TNJGODT0K39D8MCMQJ22S","4000","SUMME")</f>
        <v>35876691219.68</v>
      </c>
      <c r="R36" s="11">
        <f>[2]!BexGetData("DP_1","00O2TNJGODT0K39D8MCMQJRD0","4000","SUMME")</f>
        <v>35329164657.169998</v>
      </c>
      <c r="S36" s="11">
        <f>[2]!BexGetData("DP_1","00O2TNJGODT0K39D8MCMQLIKK","4000","SUMME")</f>
        <v>-35329164657.169998</v>
      </c>
      <c r="T36" s="11">
        <f>[2]!BexGetData("DP_1","00O2TNJGODT0K39D8MCMQLOW4","4000","SUMME")</f>
        <v>547526562.50999999</v>
      </c>
      <c r="U36" s="11">
        <f>[2]!BexGetData("DP_1","00O2TNJGODT0K39D8MCMQJXOK","4000","SUMME")</f>
        <v>35323018355.629997</v>
      </c>
      <c r="V36" s="11">
        <f>[2]!BexGetData("DP_1","00O2TNJGODT0K39D8MCMQO5DW","4000","SUMME")</f>
        <v>8121030597.3599997</v>
      </c>
      <c r="W36" s="11">
        <f>[2]!BexGetData("DP_1","00O2TNJGODT0K39D8MCMQP7B8","4000","SUMME")</f>
        <v>8714386176.9099998</v>
      </c>
      <c r="X36" s="11">
        <f>[2]!BexGetData("DP_1","00O2TNJGODT0K39D8MCMQQ98K","4000","SUMME")</f>
        <v>8530429250.9799995</v>
      </c>
      <c r="Y36" s="11">
        <f>[2]!BexGetData("DP_1","00O2TNJGODT0K39D8MCMQRB5W","4000","SUMME")</f>
        <v>9957172330.3799992</v>
      </c>
      <c r="Z36" s="11">
        <f>[2]!BexGetData("DP_1","00O2TNJGODT0K39D8MCMQSD38","4000","SUMME")</f>
        <v>6146301.54</v>
      </c>
      <c r="AA36" s="11">
        <f>[2]!BexGetData("DP_1","00O2TNJGODT0K39D8MCMQSJES","4000","SUMME")</f>
        <v>553672864.04999995</v>
      </c>
      <c r="AB36" s="11">
        <f>[2]!BexGetData("DP_1","00O2TNJGODT0K39D8MCMQKABO","4000","SUMME")</f>
        <v>35323018355.629997</v>
      </c>
      <c r="AC36" s="11">
        <f>[2]!BexGetData("DP_1","00O2TNJGODT0K39D8MCMQOBPG","4000","SUMME")</f>
        <v>8121030597.3599997</v>
      </c>
      <c r="AD36" s="11">
        <f>[2]!BexGetData("DP_1","00O2TNJGODT0K39D8MCMQPDMS","4000","SUMME")</f>
        <v>8714386176.9099998</v>
      </c>
      <c r="AE36" s="11">
        <f>[2]!BexGetData("DP_1","00O2TNJGODT0K39D8MCMQQFK4","4000","SUMME")</f>
        <v>8530429250.9799995</v>
      </c>
      <c r="AF36" s="11">
        <f>[2]!BexGetData("DP_1","00O2TNJGODT0K39D8MCMQRHHG","4000","SUMME")</f>
        <v>9957172330.3799992</v>
      </c>
      <c r="AG36" s="14">
        <f>[2]!BexGetData("DP_1","00O2TNJGODT0K39D8MCMQSPQC","4000","SUMME")</f>
        <v>0</v>
      </c>
      <c r="AH36" s="11">
        <f>[2]!BexGetData("DP_1","00O2TNE7L9CBERF5UWFY00YGS","4000","SUMME")</f>
        <v>34462051617.050003</v>
      </c>
      <c r="AI36" s="11">
        <f>[2]!BexGetData("DP_1","00O2TNJGODT0K39D8MCMQOI10","4000","SUMME")</f>
        <v>7760389061.8400002</v>
      </c>
      <c r="AJ36" s="11">
        <f>[2]!BexGetData("DP_1","00O2TNJGODT0K39D8MCMQPJYC","4000","SUMME")</f>
        <v>8513324242.2200003</v>
      </c>
      <c r="AK36" s="11">
        <f>[2]!BexGetData("DP_1","00O2TNJGODT0K39D8MCMQQLVO","4000","SUMME")</f>
        <v>8306029727.4099998</v>
      </c>
      <c r="AL36" s="11">
        <f>[2]!BexGetData("DP_1","00O2TNJGODT0K39D8MCMQRNT0","4000","SUMME")</f>
        <v>9882308585.5799999</v>
      </c>
      <c r="AM36" s="11">
        <f>[2]!BexGetData("DP_1","00O2TNJGODT0K39D8MCMQSW1W","4000","SUMME")</f>
        <v>860966738.58000004</v>
      </c>
      <c r="AN36" s="11">
        <f>[2]!BexGetData("DP_1","00O2TNJGODT0K39D8MCMQT8P0","4000","SUMME")</f>
        <v>553672864.04999995</v>
      </c>
      <c r="AO36" s="11">
        <f>[2]!BexGetData("DP_1","00O2TNJGODT0K39D8MCMQUGXW","4000","SUMME")</f>
        <v>35876691219.68</v>
      </c>
      <c r="AP36" s="15">
        <f>[2]!BexGetData("DP_1","00O2TNJGODT0K39D8MCMQUN9G","4000","SUMME")</f>
        <v>1.1682159577158699</v>
      </c>
      <c r="AQ36" s="15">
        <f>[2]!BexGetData("DP_1","00O2TNJGODT0K39D8MCMQUZWK","4000","SUMME")</f>
        <v>1.1682159577158699</v>
      </c>
      <c r="AR36" s="11">
        <f>[2]!BexGetData("DP_1","00O2TNJGODT0K39D8MCMQWR44","4000","SUMME")</f>
        <v>32470947623.619999</v>
      </c>
      <c r="AS36" s="17">
        <f>[2]!BexGetData("DP_1","00O2TNJGODT0K39D8MCMQXGEC","4000","SUMME")</f>
        <v>1.08783453951111</v>
      </c>
      <c r="AT36" s="11">
        <f>[2]!BexGetData("DP_1","00O2TNJGODT0K39D8MCMQXMPW","4000","SUMME")</f>
        <v>2852070732.0100002</v>
      </c>
      <c r="AU36" s="14">
        <f>[2]!BexGetData("DP_1","00O2TNJGODT0K39D8MCMQXT1G","4000","SUMME")</f>
        <v>0</v>
      </c>
    </row>
    <row r="37" spans="1:47" x14ac:dyDescent="0.2">
      <c r="A37" s="1" t="s">
        <v>17</v>
      </c>
      <c r="B37" s="1" t="s">
        <v>83</v>
      </c>
      <c r="C37" s="2">
        <f>[2]!BexGetData("DP_1","00O2TNJGODT0K39D8MCMQEUDG","5000","5100")</f>
        <v>25587457.260000002</v>
      </c>
      <c r="D37" s="3">
        <f>[2]!BexGetData("DP_1","00O2TNJGODT0K39D8MCMQF0P0","5000","5100")</f>
        <v>3729508.49</v>
      </c>
      <c r="E37" s="3">
        <f>[2]!BexGetData("DP_1","00O2TNJGODT0K39D8MCMQF70K","5000","5100")</f>
        <v>20685537.940000001</v>
      </c>
      <c r="F37" s="3">
        <f>[2]!BexGetData("DP_1","00O2TNJGODT0K39D8MCMQFDC4","5000","5100")</f>
        <v>673241</v>
      </c>
      <c r="G37" s="3">
        <f>[2]!BexGetData("DP_1","00O2TNJGODT0K39D8MCMQFJNO","5000","5100")</f>
        <v>499169.83</v>
      </c>
      <c r="H37" s="2">
        <f>[2]!BexGetData("DP_1","00O2TNJGODT0K39D8MCMQGLL0","5000","5100")</f>
        <v>489794898.64999998</v>
      </c>
      <c r="I37" s="2">
        <f>[2]!BexGetData("DP_1","00O2TNJGODT0K39D8MCMQHNIC","5000","5100")</f>
        <v>-401979390.17000002</v>
      </c>
      <c r="J37" s="2">
        <f>[2]!BexGetData("DP_1","00O2TNJGODT0K3B5ZBNSUNZD9","5000","5100")</f>
        <v>87815508.480000004</v>
      </c>
      <c r="K37" s="2">
        <f>[2]!BexGetData("DP_1","00O2TNJGODT0K39D8MCMQHTTW","5000","5100")</f>
        <v>113402965.73999999</v>
      </c>
      <c r="L37" s="2">
        <f>[2]!BexGetData("DP_1","00O2TNJGODT0K39D8MCMQI05G","5000","5100")</f>
        <v>37148734.039999999</v>
      </c>
      <c r="M37" s="2">
        <f>[2]!BexGetData("DP_1","00O2TNJGODT0K39D8MCMQI6H0","5000","5100")</f>
        <v>53412077.409999996</v>
      </c>
      <c r="N37" s="2">
        <f>[2]!BexGetData("DP_1","00O2TNJGODT0K39D8MCMQICSK","5000","5100")</f>
        <v>17131333.960000001</v>
      </c>
      <c r="O37" s="2">
        <f>[2]!BexGetData("DP_1","00O2TNJGODT0K39D8MCMQIJ44","5000","5100")</f>
        <v>5710820.3300000001</v>
      </c>
      <c r="P37" s="5">
        <f>[2]!BexGetData("DP_1","00O2TNJGODT0K39D8MCMQIVR8","5000","5100")</f>
        <v>0</v>
      </c>
      <c r="Q37" s="2">
        <f>[2]!BexGetData("DP_1","00O2TNJGODT0K39D8MCMQJ22S","5000","5100")</f>
        <v>113402965.73999999</v>
      </c>
      <c r="R37" s="2">
        <f>[2]!BexGetData("DP_1","00O2TNJGODT0K39D8MCMQJRD0","5000","5100")</f>
        <v>110715884.55</v>
      </c>
      <c r="S37" s="2">
        <f>[2]!BexGetData("DP_1","00O2TNJGODT0K39D8MCMQLIKK","5000","5100")</f>
        <v>-110715884.55</v>
      </c>
      <c r="T37" s="2">
        <f>[2]!BexGetData("DP_1","00O2TNJGODT0K39D8MCMQLOW4","5000","5100")</f>
        <v>2687081.19</v>
      </c>
      <c r="U37" s="2">
        <f>[2]!BexGetData("DP_1","00O2TNJGODT0K39D8MCMQJXOK","5000","5100")</f>
        <v>109741069.89</v>
      </c>
      <c r="V37" s="2">
        <f>[2]!BexGetData("DP_1","00O2TNJGODT0K39D8MCMQO5DW","5000","5100")</f>
        <v>711041.26</v>
      </c>
      <c r="W37" s="2">
        <f>[2]!BexGetData("DP_1","00O2TNJGODT0K39D8MCMQP7B8","5000","5100")</f>
        <v>23076369.469999999</v>
      </c>
      <c r="X37" s="2">
        <f>[2]!BexGetData("DP_1","00O2TNJGODT0K39D8MCMQQ98K","5000","5100")</f>
        <v>21537037.789999999</v>
      </c>
      <c r="Y37" s="2">
        <f>[2]!BexGetData("DP_1","00O2TNJGODT0K39D8MCMQRB5W","5000","5100")</f>
        <v>64416621.369999997</v>
      </c>
      <c r="Z37" s="2">
        <f>[2]!BexGetData("DP_1","00O2TNJGODT0K39D8MCMQSD38","5000","5100")</f>
        <v>974814.66</v>
      </c>
      <c r="AA37" s="2">
        <f>[2]!BexGetData("DP_1","00O2TNJGODT0K39D8MCMQSJES","5000","5100")</f>
        <v>3661895.85</v>
      </c>
      <c r="AB37" s="2">
        <f>[2]!BexGetData("DP_1","00O2TNJGODT0K39D8MCMQKABO","5000","5100")</f>
        <v>108193243.53</v>
      </c>
      <c r="AC37" s="2">
        <f>[2]!BexGetData("DP_1","00O2TNJGODT0K39D8MCMQOBPG","5000","5100")</f>
        <v>482324.32</v>
      </c>
      <c r="AD37" s="2">
        <f>[2]!BexGetData("DP_1","00O2TNJGODT0K39D8MCMQPDMS","5000","5100")</f>
        <v>21003927.760000002</v>
      </c>
      <c r="AE37" s="2">
        <f>[2]!BexGetData("DP_1","00O2TNJGODT0K39D8MCMQQFK4","5000","5100")</f>
        <v>20521258.649999999</v>
      </c>
      <c r="AF37" s="2">
        <f>[2]!BexGetData("DP_1","00O2TNJGODT0K39D8MCMQRHHG","5000","5100")</f>
        <v>66185732.799999997</v>
      </c>
      <c r="AG37" s="2">
        <f>[2]!BexGetData("DP_1","00O2TNJGODT0K39D8MCMQSPQC","5000","5100")</f>
        <v>1547826.36</v>
      </c>
      <c r="AH37" s="2">
        <f>[2]!BexGetData("DP_1","00O2TNE7L9CBERF5UWFY00YGS","5000","5100")</f>
        <v>56101494.060000002</v>
      </c>
      <c r="AI37" s="2">
        <f>[2]!BexGetData("DP_1","00O2TNJGODT0K39D8MCMQOI10","5000","5100")</f>
        <v>156385.84</v>
      </c>
      <c r="AJ37" s="2">
        <f>[2]!BexGetData("DP_1","00O2TNJGODT0K39D8MCMQPJYC","5000","5100")</f>
        <v>16678289.59</v>
      </c>
      <c r="AK37" s="2">
        <f>[2]!BexGetData("DP_1","00O2TNJGODT0K39D8MCMQQLVO","5000","5100")</f>
        <v>8983914.1099999994</v>
      </c>
      <c r="AL37" s="2">
        <f>[2]!BexGetData("DP_1","00O2TNJGODT0K39D8MCMQRNT0","5000","5100")</f>
        <v>30282904.52</v>
      </c>
      <c r="AM37" s="2">
        <f>[2]!BexGetData("DP_1","00O2TNJGODT0K39D8MCMQSW1W","5000","5100")</f>
        <v>52091749.469999999</v>
      </c>
      <c r="AN37" s="2">
        <f>[2]!BexGetData("DP_1","00O2TNJGODT0K39D8MCMQT8P0","5000","5100")</f>
        <v>3661895.85</v>
      </c>
      <c r="AO37" s="2">
        <f>[2]!BexGetData("DP_1","00O2TNJGODT0K39D8MCMQUGXW","5000","5100")</f>
        <v>113402965.73999999</v>
      </c>
      <c r="AP37" s="6">
        <f>[2]!BexGetData("DP_1","00O2TNJGODT0K39D8MCMQUN9G","5000","5100")</f>
        <v>4.28886187380387</v>
      </c>
      <c r="AQ37" s="6">
        <f>[2]!BexGetData("DP_1","00O2TNJGODT0K39D8MCMQUZWK","5000","5100")</f>
        <v>4.28886187380387</v>
      </c>
      <c r="AR37" s="2">
        <f>[2]!BexGetData("DP_1","00O2TNJGODT0K39D8MCMQWR44","5000","5100")</f>
        <v>70590361.189999998</v>
      </c>
      <c r="AS37" s="16">
        <f>[2]!BexGetData("DP_1","00O2TNJGODT0K39D8MCMQXGEC","5000","5100")</f>
        <v>1.5546183365548001</v>
      </c>
      <c r="AT37" s="2">
        <f>[2]!BexGetData("DP_1","00O2TNJGODT0K39D8MCMQXMPW","5000","5100")</f>
        <v>39150708.700000003</v>
      </c>
      <c r="AU37" s="5">
        <f>[2]!BexGetData("DP_1","00O2TNJGODT0K39D8MCMQXT1G","5000","5100")</f>
        <v>0</v>
      </c>
    </row>
    <row r="38" spans="1:47" x14ac:dyDescent="0.2">
      <c r="A38" s="1" t="s">
        <v>12</v>
      </c>
      <c r="B38" s="1" t="s">
        <v>109</v>
      </c>
      <c r="C38" s="2">
        <f>[2]!BexGetData("DP_1","00O2TNJGODT0K39D8MCMQEUDG","5000","5200")</f>
        <v>184687</v>
      </c>
      <c r="D38" s="4" t="str">
        <f>[2]!BexGetData("DP_1","00O2TNJGODT0K39D8MCMQF0P0","5000","5200")</f>
        <v/>
      </c>
      <c r="E38" s="3">
        <f>[2]!BexGetData("DP_1","00O2TNJGODT0K39D8MCMQF70K","5000","5200")</f>
        <v>184687</v>
      </c>
      <c r="F38" s="4" t="str">
        <f>[2]!BexGetData("DP_1","00O2TNJGODT0K39D8MCMQFDC4","5000","5200")</f>
        <v/>
      </c>
      <c r="G38" s="4" t="str">
        <f>[2]!BexGetData("DP_1","00O2TNJGODT0K39D8MCMQFJNO","5000","5200")</f>
        <v/>
      </c>
      <c r="H38" s="2">
        <f>[2]!BexGetData("DP_1","00O2TNJGODT0K39D8MCMQGLL0","5000","5200")</f>
        <v>19978681.059999999</v>
      </c>
      <c r="I38" s="2">
        <f>[2]!BexGetData("DP_1","00O2TNJGODT0K39D8MCMQHNIC","5000","5200")</f>
        <v>-14842248</v>
      </c>
      <c r="J38" s="2">
        <f>[2]!BexGetData("DP_1","00O2TNJGODT0K3B5ZBNSUNZD9","5000","5200")</f>
        <v>5136433.0599999996</v>
      </c>
      <c r="K38" s="2">
        <f>[2]!BexGetData("DP_1","00O2TNJGODT0K39D8MCMQHTTW","5000","5200")</f>
        <v>5321120.0599999996</v>
      </c>
      <c r="L38" s="2">
        <f>[2]!BexGetData("DP_1","00O2TNJGODT0K39D8MCMQI05G","5000","5200")</f>
        <v>1117114.1000000001</v>
      </c>
      <c r="M38" s="2">
        <f>[2]!BexGetData("DP_1","00O2TNJGODT0K39D8MCMQI6H0","5000","5200")</f>
        <v>3996742.02</v>
      </c>
      <c r="N38" s="2">
        <f>[2]!BexGetData("DP_1","00O2TNJGODT0K39D8MCMQICSK","5000","5200")</f>
        <v>-357220.03</v>
      </c>
      <c r="O38" s="2">
        <f>[2]!BexGetData("DP_1","00O2TNJGODT0K39D8MCMQIJ44","5000","5200")</f>
        <v>564483.97</v>
      </c>
      <c r="P38" s="2">
        <f>[2]!BexGetData("DP_1","00O2TNJGODT0K39D8MCMQIVR8","5000","5200")</f>
        <v>29105</v>
      </c>
      <c r="Q38" s="2">
        <f>[2]!BexGetData("DP_1","00O2TNJGODT0K39D8MCMQJ22S","5000","5200")</f>
        <v>5292015.0599999996</v>
      </c>
      <c r="R38" s="2">
        <f>[2]!BexGetData("DP_1","00O2TNJGODT0K39D8MCMQJRD0","5000","5200")</f>
        <v>5053424.9000000004</v>
      </c>
      <c r="S38" s="2">
        <f>[2]!BexGetData("DP_1","00O2TNJGODT0K39D8MCMQLIKK","5000","5200")</f>
        <v>-5024319.9000000004</v>
      </c>
      <c r="T38" s="2">
        <f>[2]!BexGetData("DP_1","00O2TNJGODT0K39D8MCMQLOW4","5000","5200")</f>
        <v>238590.16</v>
      </c>
      <c r="U38" s="2">
        <f>[2]!BexGetData("DP_1","00O2TNJGODT0K39D8MCMQJXOK","5000","5200")</f>
        <v>5014319.9000000004</v>
      </c>
      <c r="V38" s="2">
        <f>[2]!BexGetData("DP_1","00O2TNJGODT0K39D8MCMQO5DW","5000","5200")</f>
        <v>342200</v>
      </c>
      <c r="W38" s="2">
        <f>[2]!BexGetData("DP_1","00O2TNJGODT0K39D8MCMQP7B8","5000","5200")</f>
        <v>307616.36</v>
      </c>
      <c r="X38" s="2">
        <f>[2]!BexGetData("DP_1","00O2TNJGODT0K39D8MCMQQ98K","5000","5200")</f>
        <v>245029.7</v>
      </c>
      <c r="Y38" s="2">
        <f>[2]!BexGetData("DP_1","00O2TNJGODT0K39D8MCMQRB5W","5000","5200")</f>
        <v>4119473.84</v>
      </c>
      <c r="Z38" s="2">
        <f>[2]!BexGetData("DP_1","00O2TNJGODT0K39D8MCMQSD38","5000","5200")</f>
        <v>39105</v>
      </c>
      <c r="AA38" s="2">
        <f>[2]!BexGetData("DP_1","00O2TNJGODT0K39D8MCMQSJES","5000","5200")</f>
        <v>306800.15999999997</v>
      </c>
      <c r="AB38" s="2">
        <f>[2]!BexGetData("DP_1","00O2TNJGODT0K39D8MCMQKABO","5000","5200")</f>
        <v>5014319.9000000004</v>
      </c>
      <c r="AC38" s="2">
        <f>[2]!BexGetData("DP_1","00O2TNJGODT0K39D8MCMQOBPG","5000","5200")</f>
        <v>342200</v>
      </c>
      <c r="AD38" s="2">
        <f>[2]!BexGetData("DP_1","00O2TNJGODT0K39D8MCMQPDMS","5000","5200")</f>
        <v>289621.53000000003</v>
      </c>
      <c r="AE38" s="2">
        <f>[2]!BexGetData("DP_1","00O2TNJGODT0K39D8MCMQQFK4","5000","5200")</f>
        <v>232586.13</v>
      </c>
      <c r="AF38" s="2">
        <f>[2]!BexGetData("DP_1","00O2TNJGODT0K39D8MCMQRHHG","5000","5200")</f>
        <v>4149912.24</v>
      </c>
      <c r="AG38" s="5">
        <f>[2]!BexGetData("DP_1","00O2TNJGODT0K39D8MCMQSPQC","5000","5200")</f>
        <v>0</v>
      </c>
      <c r="AH38" s="2">
        <f>[2]!BexGetData("DP_1","00O2TNE7L9CBERF5UWFY00YGS","5000","5200")</f>
        <v>1750245.52</v>
      </c>
      <c r="AI38" s="5">
        <f>[2]!BexGetData("DP_1","00O2TNJGODT0K39D8MCMQOI10","5000","5200")</f>
        <v>0</v>
      </c>
      <c r="AJ38" s="2">
        <f>[2]!BexGetData("DP_1","00O2TNJGODT0K39D8MCMQPJYC","5000","5200")</f>
        <v>631821.53</v>
      </c>
      <c r="AK38" s="2">
        <f>[2]!BexGetData("DP_1","00O2TNJGODT0K39D8MCMQQLVO","5000","5200")</f>
        <v>146628.82</v>
      </c>
      <c r="AL38" s="2">
        <f>[2]!BexGetData("DP_1","00O2TNJGODT0K39D8MCMQRNT0","5000","5200")</f>
        <v>971795.17</v>
      </c>
      <c r="AM38" s="2">
        <f>[2]!BexGetData("DP_1","00O2TNJGODT0K39D8MCMQSW1W","5000","5200")</f>
        <v>3264074.38</v>
      </c>
      <c r="AN38" s="2">
        <f>[2]!BexGetData("DP_1","00O2TNJGODT0K39D8MCMQT8P0","5000","5200")</f>
        <v>306800.15999999997</v>
      </c>
      <c r="AO38" s="2">
        <f>[2]!BexGetData("DP_1","00O2TNJGODT0K39D8MCMQUGXW","5000","5200")</f>
        <v>5321120.0599999996</v>
      </c>
      <c r="AP38" s="6">
        <f>[2]!BexGetData("DP_1","00O2TNJGODT0K39D8MCMQUN9G","5000","5200")</f>
        <v>27.150367378321199</v>
      </c>
      <c r="AQ38" s="6">
        <f>[2]!BexGetData("DP_1","00O2TNJGODT0K39D8MCMQUZWK","5000","5200")</f>
        <v>27.150367378321199</v>
      </c>
      <c r="AR38" s="2">
        <f>[2]!BexGetData("DP_1","00O2TNJGODT0K39D8MCMQWR44","5000","5200")</f>
        <v>5834567.8899999997</v>
      </c>
      <c r="AS38" s="16">
        <f>[2]!BexGetData("DP_1","00O2TNJGODT0K39D8MCMQXGEC","5000","5200")</f>
        <v>0.85941581185371996</v>
      </c>
      <c r="AT38" s="2">
        <f>[2]!BexGetData("DP_1","00O2TNJGODT0K39D8MCMQXMPW","5000","5200")</f>
        <v>-820247.99</v>
      </c>
      <c r="AU38" s="5">
        <f>[2]!BexGetData("DP_1","00O2TNJGODT0K39D8MCMQXT1G","5000","5200")</f>
        <v>0</v>
      </c>
    </row>
    <row r="39" spans="1:47" x14ac:dyDescent="0.2">
      <c r="A39" s="1" t="s">
        <v>12</v>
      </c>
      <c r="B39" s="1" t="s">
        <v>110</v>
      </c>
      <c r="C39" s="2">
        <f>[2]!BexGetData("DP_1","00O2TNJGODT0K39D8MCMQEUDG","5000","5300")</f>
        <v>5000</v>
      </c>
      <c r="D39" s="4" t="str">
        <f>[2]!BexGetData("DP_1","00O2TNJGODT0K39D8MCMQF0P0","5000","5300")</f>
        <v/>
      </c>
      <c r="E39" s="3">
        <f>[2]!BexGetData("DP_1","00O2TNJGODT0K39D8MCMQF70K","5000","5300")</f>
        <v>5000</v>
      </c>
      <c r="F39" s="4" t="str">
        <f>[2]!BexGetData("DP_1","00O2TNJGODT0K39D8MCMQFDC4","5000","5300")</f>
        <v/>
      </c>
      <c r="G39" s="4" t="str">
        <f>[2]!BexGetData("DP_1","00O2TNJGODT0K39D8MCMQFJNO","5000","5300")</f>
        <v/>
      </c>
      <c r="H39" s="2">
        <f>[2]!BexGetData("DP_1","00O2TNJGODT0K39D8MCMQGLL0","5000","5300")</f>
        <v>16312790.560000001</v>
      </c>
      <c r="I39" s="2">
        <f>[2]!BexGetData("DP_1","00O2TNJGODT0K39D8MCMQHNIC","5000","5300")</f>
        <v>-13787409.689999999</v>
      </c>
      <c r="J39" s="2">
        <f>[2]!BexGetData("DP_1","00O2TNJGODT0K3B5ZBNSUNZD9","5000","5300")</f>
        <v>2525380.87</v>
      </c>
      <c r="K39" s="2">
        <f>[2]!BexGetData("DP_1","00O2TNJGODT0K39D8MCMQHTTW","5000","5300")</f>
        <v>2530380.87</v>
      </c>
      <c r="L39" s="2">
        <f>[2]!BexGetData("DP_1","00O2TNJGODT0K39D8MCMQI05G","5000","5300")</f>
        <v>1772491.52</v>
      </c>
      <c r="M39" s="2">
        <f>[2]!BexGetData("DP_1","00O2TNJGODT0K39D8MCMQI6H0","5000","5300")</f>
        <v>977063.7</v>
      </c>
      <c r="N39" s="2">
        <f>[2]!BexGetData("DP_1","00O2TNJGODT0K39D8MCMQICSK","5000","5300")</f>
        <v>-9374</v>
      </c>
      <c r="O39" s="2">
        <f>[2]!BexGetData("DP_1","00O2TNJGODT0K39D8MCMQIJ44","5000","5300")</f>
        <v>-209800.35</v>
      </c>
      <c r="P39" s="5">
        <f>[2]!BexGetData("DP_1","00O2TNJGODT0K39D8MCMQIVR8","5000","5300")</f>
        <v>0</v>
      </c>
      <c r="Q39" s="2">
        <f>[2]!BexGetData("DP_1","00O2TNJGODT0K39D8MCMQJ22S","5000","5300")</f>
        <v>2530380.87</v>
      </c>
      <c r="R39" s="2">
        <f>[2]!BexGetData("DP_1","00O2TNJGODT0K39D8MCMQJRD0","5000","5300")</f>
        <v>2528814.9300000002</v>
      </c>
      <c r="S39" s="2">
        <f>[2]!BexGetData("DP_1","00O2TNJGODT0K39D8MCMQLIKK","5000","5300")</f>
        <v>-2528814.9300000002</v>
      </c>
      <c r="T39" s="2">
        <f>[2]!BexGetData("DP_1","00O2TNJGODT0K39D8MCMQLOW4","5000","5300")</f>
        <v>1565.94</v>
      </c>
      <c r="U39" s="2">
        <f>[2]!BexGetData("DP_1","00O2TNJGODT0K39D8MCMQJXOK","5000","5300")</f>
        <v>2528814.9300000002</v>
      </c>
      <c r="V39" s="2">
        <f>[2]!BexGetData("DP_1","00O2TNJGODT0K39D8MCMQO5DW","5000","5300")</f>
        <v>107751.15</v>
      </c>
      <c r="W39" s="5">
        <f>[2]!BexGetData("DP_1","00O2TNJGODT0K39D8MCMQP7B8","5000","5300")</f>
        <v>0</v>
      </c>
      <c r="X39" s="2">
        <f>[2]!BexGetData("DP_1","00O2TNJGODT0K39D8MCMQQ98K","5000","5300")</f>
        <v>513706</v>
      </c>
      <c r="Y39" s="2">
        <f>[2]!BexGetData("DP_1","00O2TNJGODT0K39D8MCMQRB5W","5000","5300")</f>
        <v>1907357.78</v>
      </c>
      <c r="Z39" s="5">
        <f>[2]!BexGetData("DP_1","00O2TNJGODT0K39D8MCMQSD38","5000","5300")</f>
        <v>0</v>
      </c>
      <c r="AA39" s="2">
        <f>[2]!BexGetData("DP_1","00O2TNJGODT0K39D8MCMQSJES","5000","5300")</f>
        <v>1565.94</v>
      </c>
      <c r="AB39" s="2">
        <f>[2]!BexGetData("DP_1","00O2TNJGODT0K39D8MCMQKABO","5000","5300")</f>
        <v>2528814.9300000002</v>
      </c>
      <c r="AC39" s="2">
        <f>[2]!BexGetData("DP_1","00O2TNJGODT0K39D8MCMQOBPG","5000","5300")</f>
        <v>107751.15</v>
      </c>
      <c r="AD39" s="5">
        <f>[2]!BexGetData("DP_1","00O2TNJGODT0K39D8MCMQPDMS","5000","5300")</f>
        <v>0</v>
      </c>
      <c r="AE39" s="2">
        <f>[2]!BexGetData("DP_1","00O2TNJGODT0K39D8MCMQQFK4","5000","5300")</f>
        <v>509240</v>
      </c>
      <c r="AF39" s="2">
        <f>[2]!BexGetData("DP_1","00O2TNJGODT0K39D8MCMQRHHG","5000","5300")</f>
        <v>1911823.78</v>
      </c>
      <c r="AG39" s="5">
        <f>[2]!BexGetData("DP_1","00O2TNJGODT0K39D8MCMQSPQC","5000","5300")</f>
        <v>0</v>
      </c>
      <c r="AH39" s="2">
        <f>[2]!BexGetData("DP_1","00O2TNE7L9CBERF5UWFY00YGS","5000","5300")</f>
        <v>1648165.03</v>
      </c>
      <c r="AI39" s="2">
        <f>[2]!BexGetData("DP_1","00O2TNJGODT0K39D8MCMQOI10","5000","5300")</f>
        <v>107751.15</v>
      </c>
      <c r="AJ39" s="5">
        <f>[2]!BexGetData("DP_1","00O2TNJGODT0K39D8MCMQPJYC","5000","5300")</f>
        <v>0</v>
      </c>
      <c r="AK39" s="2">
        <f>[2]!BexGetData("DP_1","00O2TNJGODT0K39D8MCMQQLVO","5000","5300")</f>
        <v>509240</v>
      </c>
      <c r="AL39" s="2">
        <f>[2]!BexGetData("DP_1","00O2TNJGODT0K39D8MCMQRNT0","5000","5300")</f>
        <v>1031173.88</v>
      </c>
      <c r="AM39" s="2">
        <f>[2]!BexGetData("DP_1","00O2TNJGODT0K39D8MCMQSW1W","5000","5300")</f>
        <v>880649.9</v>
      </c>
      <c r="AN39" s="2">
        <f>[2]!BexGetData("DP_1","00O2TNJGODT0K39D8MCMQT8P0","5000","5300")</f>
        <v>1565.94</v>
      </c>
      <c r="AO39" s="2">
        <f>[2]!BexGetData("DP_1","00O2TNJGODT0K39D8MCMQUGXW","5000","5300")</f>
        <v>2530380.87</v>
      </c>
      <c r="AP39" s="6">
        <f>[2]!BexGetData("DP_1","00O2TNJGODT0K39D8MCMQUN9G","5000","5300")</f>
        <v>505.76298600000001</v>
      </c>
      <c r="AQ39" s="6">
        <f>[2]!BexGetData("DP_1","00O2TNJGODT0K39D8MCMQUZWK","5000","5300")</f>
        <v>505.76298600000001</v>
      </c>
      <c r="AR39" s="2">
        <f>[2]!BexGetData("DP_1","00O2TNJGODT0K39D8MCMQWR44","5000","5300")</f>
        <v>2537739.33</v>
      </c>
      <c r="AS39" s="16">
        <f>[2]!BexGetData("DP_1","00O2TNJGODT0K39D8MCMQXGEC","5000","5300")</f>
        <v>0.99648332675680995</v>
      </c>
      <c r="AT39" s="2">
        <f>[2]!BexGetData("DP_1","00O2TNJGODT0K39D8MCMQXMPW","5000","5300")</f>
        <v>-8924.4</v>
      </c>
      <c r="AU39" s="5">
        <f>[2]!BexGetData("DP_1","00O2TNJGODT0K39D8MCMQXT1G","5000","5300")</f>
        <v>0</v>
      </c>
    </row>
    <row r="40" spans="1:47" x14ac:dyDescent="0.2">
      <c r="A40" s="1" t="s">
        <v>12</v>
      </c>
      <c r="B40" s="1" t="s">
        <v>111</v>
      </c>
      <c r="C40" s="2">
        <f>[2]!BexGetData("DP_1","00O2TNJGODT0K39D8MCMQEUDG","5000","5400")</f>
        <v>500000</v>
      </c>
      <c r="D40" s="3">
        <f>[2]!BexGetData("DP_1","00O2TNJGODT0K39D8MCMQF0P0","5000","5400")</f>
        <v>500000</v>
      </c>
      <c r="E40" s="4" t="str">
        <f>[2]!BexGetData("DP_1","00O2TNJGODT0K39D8MCMQF70K","5000","5400")</f>
        <v/>
      </c>
      <c r="F40" s="4" t="str">
        <f>[2]!BexGetData("DP_1","00O2TNJGODT0K39D8MCMQFDC4","5000","5400")</f>
        <v/>
      </c>
      <c r="G40" s="4" t="str">
        <f>[2]!BexGetData("DP_1","00O2TNJGODT0K39D8MCMQFJNO","5000","5400")</f>
        <v/>
      </c>
      <c r="H40" s="2">
        <f>[2]!BexGetData("DP_1","00O2TNJGODT0K39D8MCMQGLL0","5000","5400")</f>
        <v>115339904.67</v>
      </c>
      <c r="I40" s="2">
        <f>[2]!BexGetData("DP_1","00O2TNJGODT0K39D8MCMQHNIC","5000","5400")</f>
        <v>-88021730.939999998</v>
      </c>
      <c r="J40" s="2">
        <f>[2]!BexGetData("DP_1","00O2TNJGODT0K3B5ZBNSUNZD9","5000","5400")</f>
        <v>27318173.73</v>
      </c>
      <c r="K40" s="2">
        <f>[2]!BexGetData("DP_1","00O2TNJGODT0K39D8MCMQHTTW","5000","5400")</f>
        <v>27818173.73</v>
      </c>
      <c r="L40" s="2">
        <f>[2]!BexGetData("DP_1","00O2TNJGODT0K39D8MCMQI05G","5000","5400")</f>
        <v>4107505.31</v>
      </c>
      <c r="M40" s="2">
        <f>[2]!BexGetData("DP_1","00O2TNJGODT0K39D8MCMQI6H0","5000","5400")</f>
        <v>20882334.829999998</v>
      </c>
      <c r="N40" s="2">
        <f>[2]!BexGetData("DP_1","00O2TNJGODT0K39D8MCMQICSK","5000","5400")</f>
        <v>1765818.59</v>
      </c>
      <c r="O40" s="2">
        <f>[2]!BexGetData("DP_1","00O2TNJGODT0K39D8MCMQIJ44","5000","5400")</f>
        <v>1062515</v>
      </c>
      <c r="P40" s="5">
        <f>[2]!BexGetData("DP_1","00O2TNJGODT0K39D8MCMQIVR8","5000","5400")</f>
        <v>0</v>
      </c>
      <c r="Q40" s="2">
        <f>[2]!BexGetData("DP_1","00O2TNJGODT0K39D8MCMQJ22S","5000","5400")</f>
        <v>27818173.73</v>
      </c>
      <c r="R40" s="2">
        <f>[2]!BexGetData("DP_1","00O2TNJGODT0K39D8MCMQJRD0","5000","5400")</f>
        <v>27764614.699999999</v>
      </c>
      <c r="S40" s="2">
        <f>[2]!BexGetData("DP_1","00O2TNJGODT0K39D8MCMQLIKK","5000","5400")</f>
        <v>-27764614.699999999</v>
      </c>
      <c r="T40" s="2">
        <f>[2]!BexGetData("DP_1","00O2TNJGODT0K39D8MCMQLOW4","5000","5400")</f>
        <v>53559.03</v>
      </c>
      <c r="U40" s="2">
        <f>[2]!BexGetData("DP_1","00O2TNJGODT0K39D8MCMQJXOK","5000","5400")</f>
        <v>27764614.699999999</v>
      </c>
      <c r="V40" s="5">
        <f>[2]!BexGetData("DP_1","00O2TNJGODT0K39D8MCMQO5DW","5000","5400")</f>
        <v>0</v>
      </c>
      <c r="W40" s="5">
        <f>[2]!BexGetData("DP_1","00O2TNJGODT0K39D8MCMQP7B8","5000","5400")</f>
        <v>0</v>
      </c>
      <c r="X40" s="2">
        <f>[2]!BexGetData("DP_1","00O2TNJGODT0K39D8MCMQQ98K","5000","5400")</f>
        <v>21165730.640000001</v>
      </c>
      <c r="Y40" s="2">
        <f>[2]!BexGetData("DP_1","00O2TNJGODT0K39D8MCMQRB5W","5000","5400")</f>
        <v>6598884.0599999996</v>
      </c>
      <c r="Z40" s="5">
        <f>[2]!BexGetData("DP_1","00O2TNJGODT0K39D8MCMQSD38","5000","5400")</f>
        <v>0</v>
      </c>
      <c r="AA40" s="2">
        <f>[2]!BexGetData("DP_1","00O2TNJGODT0K39D8MCMQSJES","5000","5400")</f>
        <v>53559.03</v>
      </c>
      <c r="AB40" s="2">
        <f>[2]!BexGetData("DP_1","00O2TNJGODT0K39D8MCMQKABO","5000","5400")</f>
        <v>27764614.699999999</v>
      </c>
      <c r="AC40" s="5">
        <f>[2]!BexGetData("DP_1","00O2TNJGODT0K39D8MCMQOBPG","5000","5400")</f>
        <v>0</v>
      </c>
      <c r="AD40" s="5">
        <f>[2]!BexGetData("DP_1","00O2TNJGODT0K39D8MCMQPDMS","5000","5400")</f>
        <v>0</v>
      </c>
      <c r="AE40" s="2">
        <f>[2]!BexGetData("DP_1","00O2TNJGODT0K39D8MCMQQFK4","5000","5400")</f>
        <v>20512730.640000001</v>
      </c>
      <c r="AF40" s="2">
        <f>[2]!BexGetData("DP_1","00O2TNJGODT0K39D8MCMQRHHG","5000","5400")</f>
        <v>7251884.0599999996</v>
      </c>
      <c r="AG40" s="5">
        <f>[2]!BexGetData("DP_1","00O2TNJGODT0K39D8MCMQSPQC","5000","5400")</f>
        <v>0</v>
      </c>
      <c r="AH40" s="2">
        <f>[2]!BexGetData("DP_1","00O2TNE7L9CBERF5UWFY00YGS","5000","5400")</f>
        <v>24985678.68</v>
      </c>
      <c r="AI40" s="5">
        <f>[2]!BexGetData("DP_1","00O2TNJGODT0K39D8MCMQOI10","5000","5400")</f>
        <v>0</v>
      </c>
      <c r="AJ40" s="5">
        <f>[2]!BexGetData("DP_1","00O2TNJGODT0K39D8MCMQPJYC","5000","5400")</f>
        <v>0</v>
      </c>
      <c r="AK40" s="2">
        <f>[2]!BexGetData("DP_1","00O2TNJGODT0K39D8MCMQQLVO","5000","5400")</f>
        <v>5694156.8499999996</v>
      </c>
      <c r="AL40" s="2">
        <f>[2]!BexGetData("DP_1","00O2TNJGODT0K39D8MCMQRNT0","5000","5400")</f>
        <v>19291521.829999998</v>
      </c>
      <c r="AM40" s="2">
        <f>[2]!BexGetData("DP_1","00O2TNJGODT0K39D8MCMQSW1W","5000","5400")</f>
        <v>2778936.02</v>
      </c>
      <c r="AN40" s="2">
        <f>[2]!BexGetData("DP_1","00O2TNJGODT0K39D8MCMQT8P0","5000","5400")</f>
        <v>53559.03</v>
      </c>
      <c r="AO40" s="2">
        <f>[2]!BexGetData("DP_1","00O2TNJGODT0K39D8MCMQUGXW","5000","5400")</f>
        <v>27818173.73</v>
      </c>
      <c r="AP40" s="6">
        <f>[2]!BexGetData("DP_1","00O2TNJGODT0K39D8MCMQUN9G","5000","5400")</f>
        <v>55.529229399999998</v>
      </c>
      <c r="AQ40" s="6">
        <f>[2]!BexGetData("DP_1","00O2TNJGODT0K39D8MCMQUZWK","5000","5400")</f>
        <v>55.529229399999998</v>
      </c>
      <c r="AR40" s="2">
        <f>[2]!BexGetData("DP_1","00O2TNJGODT0K39D8MCMQWR44","5000","5400")</f>
        <v>34191761.590000004</v>
      </c>
      <c r="AS40" s="16">
        <f>[2]!BexGetData("DP_1","00O2TNJGODT0K39D8MCMQXGEC","5000","5400")</f>
        <v>0.81202644756742004</v>
      </c>
      <c r="AT40" s="2">
        <f>[2]!BexGetData("DP_1","00O2TNJGODT0K39D8MCMQXMPW","5000","5400")</f>
        <v>-6427146.8899999997</v>
      </c>
      <c r="AU40" s="5">
        <f>[2]!BexGetData("DP_1","00O2TNJGODT0K39D8MCMQXT1G","5000","5400")</f>
        <v>0</v>
      </c>
    </row>
    <row r="41" spans="1:47" x14ac:dyDescent="0.2">
      <c r="A41" s="1" t="s">
        <v>12</v>
      </c>
      <c r="B41" s="1" t="s">
        <v>112</v>
      </c>
      <c r="C41" s="2">
        <f>[2]!BexGetData("DP_1","00O2TNJGODT0K39D8MCMQEUDG","5000","5500")</f>
        <v>30212000</v>
      </c>
      <c r="D41" s="4" t="str">
        <f>[2]!BexGetData("DP_1","00O2TNJGODT0K39D8MCMQF0P0","5000","5500")</f>
        <v/>
      </c>
      <c r="E41" s="3">
        <f>[2]!BexGetData("DP_1","00O2TNJGODT0K39D8MCMQF70K","5000","5500")</f>
        <v>30212000</v>
      </c>
      <c r="F41" s="4" t="str">
        <f>[2]!BexGetData("DP_1","00O2TNJGODT0K39D8MCMQFDC4","5000","5500")</f>
        <v/>
      </c>
      <c r="G41" s="4" t="str">
        <f>[2]!BexGetData("DP_1","00O2TNJGODT0K39D8MCMQFJNO","5000","5500")</f>
        <v/>
      </c>
      <c r="H41" s="2">
        <f>[2]!BexGetData("DP_1","00O2TNJGODT0K39D8MCMQGLL0","5000","5500")</f>
        <v>1027027134.83</v>
      </c>
      <c r="I41" s="2">
        <f>[2]!BexGetData("DP_1","00O2TNJGODT0K39D8MCMQHNIC","5000","5500")</f>
        <v>-539736299.12</v>
      </c>
      <c r="J41" s="2">
        <f>[2]!BexGetData("DP_1","00O2TNJGODT0K3B5ZBNSUNZD9","5000","5500")</f>
        <v>487290835.70999998</v>
      </c>
      <c r="K41" s="2">
        <f>[2]!BexGetData("DP_1","00O2TNJGODT0K39D8MCMQHTTW","5000","5500")</f>
        <v>517502835.70999998</v>
      </c>
      <c r="L41" s="2">
        <f>[2]!BexGetData("DP_1","00O2TNJGODT0K39D8MCMQI05G","5000","5500")</f>
        <v>7880063.4299999997</v>
      </c>
      <c r="M41" s="2">
        <f>[2]!BexGetData("DP_1","00O2TNJGODT0K39D8MCMQI6H0","5000","5500")</f>
        <v>7825692</v>
      </c>
      <c r="N41" s="2">
        <f>[2]!BexGetData("DP_1","00O2TNJGODT0K39D8MCMQICSK","5000","5500")</f>
        <v>325836860.38999999</v>
      </c>
      <c r="O41" s="2">
        <f>[2]!BexGetData("DP_1","00O2TNJGODT0K39D8MCMQIJ44","5000","5500")</f>
        <v>175960219.88999999</v>
      </c>
      <c r="P41" s="5">
        <f>[2]!BexGetData("DP_1","00O2TNJGODT0K39D8MCMQIVR8","5000","5500")</f>
        <v>0</v>
      </c>
      <c r="Q41" s="2">
        <f>[2]!BexGetData("DP_1","00O2TNJGODT0K39D8MCMQJ22S","5000","5500")</f>
        <v>517502835.70999998</v>
      </c>
      <c r="R41" s="2">
        <f>[2]!BexGetData("DP_1","00O2TNJGODT0K39D8MCMQJRD0","5000","5500")</f>
        <v>487431921.31999999</v>
      </c>
      <c r="S41" s="2">
        <f>[2]!BexGetData("DP_1","00O2TNJGODT0K39D8MCMQLIKK","5000","5500")</f>
        <v>-487431921.31999999</v>
      </c>
      <c r="T41" s="2">
        <f>[2]!BexGetData("DP_1","00O2TNJGODT0K39D8MCMQLOW4","5000","5500")</f>
        <v>30070914.390000001</v>
      </c>
      <c r="U41" s="2">
        <f>[2]!BexGetData("DP_1","00O2TNJGODT0K39D8MCMQJXOK","5000","5500")</f>
        <v>482972656.74000001</v>
      </c>
      <c r="V41" s="5">
        <f>[2]!BexGetData("DP_1","00O2TNJGODT0K39D8MCMQO5DW","5000","5500")</f>
        <v>0</v>
      </c>
      <c r="W41" s="5">
        <f>[2]!BexGetData("DP_1","00O2TNJGODT0K39D8MCMQP7B8","5000","5500")</f>
        <v>0</v>
      </c>
      <c r="X41" s="2">
        <f>[2]!BexGetData("DP_1","00O2TNJGODT0K39D8MCMQQ98K","5000","5500")</f>
        <v>324800000</v>
      </c>
      <c r="Y41" s="2">
        <f>[2]!BexGetData("DP_1","00O2TNJGODT0K39D8MCMQRB5W","5000","5500")</f>
        <v>158172656.74000001</v>
      </c>
      <c r="Z41" s="2">
        <f>[2]!BexGetData("DP_1","00O2TNJGODT0K39D8MCMQSD38","5000","5500")</f>
        <v>4459264.58</v>
      </c>
      <c r="AA41" s="2">
        <f>[2]!BexGetData("DP_1","00O2TNJGODT0K39D8MCMQSJES","5000","5500")</f>
        <v>34530178.969999999</v>
      </c>
      <c r="AB41" s="2">
        <f>[2]!BexGetData("DP_1","00O2TNJGODT0K39D8MCMQKABO","5000","5500")</f>
        <v>482972656.74000001</v>
      </c>
      <c r="AC41" s="5">
        <f>[2]!BexGetData("DP_1","00O2TNJGODT0K39D8MCMQOBPG","5000","5500")</f>
        <v>0</v>
      </c>
      <c r="AD41" s="5">
        <f>[2]!BexGetData("DP_1","00O2TNJGODT0K39D8MCMQPDMS","5000","5500")</f>
        <v>0</v>
      </c>
      <c r="AE41" s="2">
        <f>[2]!BexGetData("DP_1","00O2TNJGODT0K39D8MCMQQFK4","5000","5500")</f>
        <v>324800000</v>
      </c>
      <c r="AF41" s="2">
        <f>[2]!BexGetData("DP_1","00O2TNJGODT0K39D8MCMQRHHG","5000","5500")</f>
        <v>158172656.74000001</v>
      </c>
      <c r="AG41" s="5">
        <f>[2]!BexGetData("DP_1","00O2TNJGODT0K39D8MCMQSPQC","5000","5500")</f>
        <v>0</v>
      </c>
      <c r="AH41" s="2">
        <f>[2]!BexGetData("DP_1","00O2TNE7L9CBERF5UWFY00YGS","5000","5500")</f>
        <v>482972656.74000001</v>
      </c>
      <c r="AI41" s="5">
        <f>[2]!BexGetData("DP_1","00O2TNJGODT0K39D8MCMQOI10","5000","5500")</f>
        <v>0</v>
      </c>
      <c r="AJ41" s="5">
        <f>[2]!BexGetData("DP_1","00O2TNJGODT0K39D8MCMQPJYC","5000","5500")</f>
        <v>0</v>
      </c>
      <c r="AK41" s="2">
        <f>[2]!BexGetData("DP_1","00O2TNJGODT0K39D8MCMQQLVO","5000","5500")</f>
        <v>324800000</v>
      </c>
      <c r="AL41" s="2">
        <f>[2]!BexGetData("DP_1","00O2TNJGODT0K39D8MCMQRNT0","5000","5500")</f>
        <v>158172656.74000001</v>
      </c>
      <c r="AM41" s="5">
        <f>[2]!BexGetData("DP_1","00O2TNJGODT0K39D8MCMQSW1W","5000","5500")</f>
        <v>0</v>
      </c>
      <c r="AN41" s="2">
        <f>[2]!BexGetData("DP_1","00O2TNJGODT0K39D8MCMQT8P0","5000","5500")</f>
        <v>34530178.969999999</v>
      </c>
      <c r="AO41" s="2">
        <f>[2]!BexGetData("DP_1","00O2TNJGODT0K39D8MCMQUGXW","5000","5500")</f>
        <v>517502835.70999998</v>
      </c>
      <c r="AP41" s="6">
        <f>[2]!BexGetData("DP_1","00O2TNJGODT0K39D8MCMQUN9G","5000","5500")</f>
        <v>15.9861199768304</v>
      </c>
      <c r="AQ41" s="6">
        <f>[2]!BexGetData("DP_1","00O2TNJGODT0K39D8MCMQUZWK","5000","5500")</f>
        <v>15.9861199768304</v>
      </c>
      <c r="AR41" s="2">
        <f>[2]!BexGetData("DP_1","00O2TNJGODT0K39D8MCMQWR44","5000","5500")</f>
        <v>4024541.12</v>
      </c>
      <c r="AS41" s="16">
        <f>[2]!BexGetData("DP_1","00O2TNJGODT0K39D8MCMQXGEC","5000","5500")</f>
        <v>120.006888323208</v>
      </c>
      <c r="AT41" s="2">
        <f>[2]!BexGetData("DP_1","00O2TNJGODT0K39D8MCMQXMPW","5000","5500")</f>
        <v>478948115.62</v>
      </c>
      <c r="AU41" s="5">
        <f>[2]!BexGetData("DP_1","00O2TNJGODT0K39D8MCMQXT1G","5000","5500")</f>
        <v>0</v>
      </c>
    </row>
    <row r="42" spans="1:47" x14ac:dyDescent="0.2">
      <c r="A42" s="1" t="s">
        <v>12</v>
      </c>
      <c r="B42" s="1" t="s">
        <v>113</v>
      </c>
      <c r="C42" s="2">
        <f>[2]!BexGetData("DP_1","00O2TNJGODT0K39D8MCMQEUDG","5000","5600")</f>
        <v>23041680</v>
      </c>
      <c r="D42" s="3">
        <f>[2]!BexGetData("DP_1","00O2TNJGODT0K39D8MCMQF0P0","5000","5600")</f>
        <v>697180</v>
      </c>
      <c r="E42" s="3">
        <f>[2]!BexGetData("DP_1","00O2TNJGODT0K39D8MCMQF70K","5000","5600")</f>
        <v>22344500</v>
      </c>
      <c r="F42" s="4" t="str">
        <f>[2]!BexGetData("DP_1","00O2TNJGODT0K39D8MCMQFDC4","5000","5600")</f>
        <v/>
      </c>
      <c r="G42" s="4" t="str">
        <f>[2]!BexGetData("DP_1","00O2TNJGODT0K39D8MCMQFJNO","5000","5600")</f>
        <v/>
      </c>
      <c r="H42" s="2">
        <f>[2]!BexGetData("DP_1","00O2TNJGODT0K39D8MCMQGLL0","5000","5600")</f>
        <v>190124157.94</v>
      </c>
      <c r="I42" s="2">
        <f>[2]!BexGetData("DP_1","00O2TNJGODT0K39D8MCMQHNIC","5000","5600")</f>
        <v>-164738906.24000001</v>
      </c>
      <c r="J42" s="2">
        <f>[2]!BexGetData("DP_1","00O2TNJGODT0K3B5ZBNSUNZD9","5000","5600")</f>
        <v>25385251.699999999</v>
      </c>
      <c r="K42" s="2">
        <f>[2]!BexGetData("DP_1","00O2TNJGODT0K39D8MCMQHTTW","5000","5600")</f>
        <v>48426931.700000003</v>
      </c>
      <c r="L42" s="2">
        <f>[2]!BexGetData("DP_1","00O2TNJGODT0K39D8MCMQI05G","5000","5600")</f>
        <v>16377323.33</v>
      </c>
      <c r="M42" s="2">
        <f>[2]!BexGetData("DP_1","00O2TNJGODT0K39D8MCMQI6H0","5000","5600")</f>
        <v>21305529.039999999</v>
      </c>
      <c r="N42" s="2">
        <f>[2]!BexGetData("DP_1","00O2TNJGODT0K39D8MCMQICSK","5000","5600")</f>
        <v>7144084.8399999999</v>
      </c>
      <c r="O42" s="2">
        <f>[2]!BexGetData("DP_1","00O2TNJGODT0K39D8MCMQIJ44","5000","5600")</f>
        <v>3599994.49</v>
      </c>
      <c r="P42" s="5">
        <f>[2]!BexGetData("DP_1","00O2TNJGODT0K39D8MCMQIVR8","5000","5600")</f>
        <v>0</v>
      </c>
      <c r="Q42" s="2">
        <f>[2]!BexGetData("DP_1","00O2TNJGODT0K39D8MCMQJ22S","5000","5600")</f>
        <v>48426931.700000003</v>
      </c>
      <c r="R42" s="2">
        <f>[2]!BexGetData("DP_1","00O2TNJGODT0K39D8MCMQJRD0","5000","5600")</f>
        <v>46650452.729999997</v>
      </c>
      <c r="S42" s="2">
        <f>[2]!BexGetData("DP_1","00O2TNJGODT0K39D8MCMQLIKK","5000","5600")</f>
        <v>-46650452.729999997</v>
      </c>
      <c r="T42" s="2">
        <f>[2]!BexGetData("DP_1","00O2TNJGODT0K39D8MCMQLOW4","5000","5600")</f>
        <v>1776478.97</v>
      </c>
      <c r="U42" s="2">
        <f>[2]!BexGetData("DP_1","00O2TNJGODT0K39D8MCMQJXOK","5000","5600")</f>
        <v>46075486.850000001</v>
      </c>
      <c r="V42" s="2">
        <f>[2]!BexGetData("DP_1","00O2TNJGODT0K39D8MCMQO5DW","5000","5600")</f>
        <v>5273164.17</v>
      </c>
      <c r="W42" s="2">
        <f>[2]!BexGetData("DP_1","00O2TNJGODT0K39D8MCMQP7B8","5000","5600")</f>
        <v>3432703.3</v>
      </c>
      <c r="X42" s="2">
        <f>[2]!BexGetData("DP_1","00O2TNJGODT0K39D8MCMQQ98K","5000","5600")</f>
        <v>2717594.06</v>
      </c>
      <c r="Y42" s="2">
        <f>[2]!BexGetData("DP_1","00O2TNJGODT0K39D8MCMQRB5W","5000","5600")</f>
        <v>34652025.32</v>
      </c>
      <c r="Z42" s="2">
        <f>[2]!BexGetData("DP_1","00O2TNJGODT0K39D8MCMQSD38","5000","5600")</f>
        <v>574965.88</v>
      </c>
      <c r="AA42" s="2">
        <f>[2]!BexGetData("DP_1","00O2TNJGODT0K39D8MCMQSJES","5000","5600")</f>
        <v>2351444.85</v>
      </c>
      <c r="AB42" s="2">
        <f>[2]!BexGetData("DP_1","00O2TNJGODT0K39D8MCMQKABO","5000","5600")</f>
        <v>45768050.600000001</v>
      </c>
      <c r="AC42" s="2">
        <f>[2]!BexGetData("DP_1","00O2TNJGODT0K39D8MCMQOBPG","5000","5600")</f>
        <v>5273164.17</v>
      </c>
      <c r="AD42" s="2">
        <f>[2]!BexGetData("DP_1","00O2TNJGODT0K39D8MCMQPDMS","5000","5600")</f>
        <v>2634251.13</v>
      </c>
      <c r="AE42" s="2">
        <f>[2]!BexGetData("DP_1","00O2TNJGODT0K39D8MCMQQFK4","5000","5600")</f>
        <v>2045881.03</v>
      </c>
      <c r="AF42" s="2">
        <f>[2]!BexGetData("DP_1","00O2TNJGODT0K39D8MCMQRHHG","5000","5600")</f>
        <v>35814754.270000003</v>
      </c>
      <c r="AG42" s="2">
        <f>[2]!BexGetData("DP_1","00O2TNJGODT0K39D8MCMQSPQC","5000","5600")</f>
        <v>307436.25</v>
      </c>
      <c r="AH42" s="2">
        <f>[2]!BexGetData("DP_1","00O2TNE7L9CBERF5UWFY00YGS","5000","5600")</f>
        <v>19992751.140000001</v>
      </c>
      <c r="AI42" s="2">
        <f>[2]!BexGetData("DP_1","00O2TNJGODT0K39D8MCMQOI10","5000","5600")</f>
        <v>3436719.4</v>
      </c>
      <c r="AJ42" s="2">
        <f>[2]!BexGetData("DP_1","00O2TNJGODT0K39D8MCMQPJYC","5000","5600")</f>
        <v>3906529.52</v>
      </c>
      <c r="AK42" s="2">
        <f>[2]!BexGetData("DP_1","00O2TNJGODT0K39D8MCMQQLVO","5000","5600")</f>
        <v>2299117.5499999998</v>
      </c>
      <c r="AL42" s="2">
        <f>[2]!BexGetData("DP_1","00O2TNJGODT0K39D8MCMQRNT0","5000","5600")</f>
        <v>10350384.67</v>
      </c>
      <c r="AM42" s="2">
        <f>[2]!BexGetData("DP_1","00O2TNJGODT0K39D8MCMQSW1W","5000","5600")</f>
        <v>25775299.460000001</v>
      </c>
      <c r="AN42" s="2">
        <f>[2]!BexGetData("DP_1","00O2TNJGODT0K39D8MCMQT8P0","5000","5600")</f>
        <v>2351444.85</v>
      </c>
      <c r="AO42" s="2">
        <f>[2]!BexGetData("DP_1","00O2TNJGODT0K39D8MCMQUGXW","5000","5600")</f>
        <v>48426931.700000003</v>
      </c>
      <c r="AP42" s="6">
        <f>[2]!BexGetData("DP_1","00O2TNJGODT0K39D8MCMQUN9G","5000","5600")</f>
        <v>1.99965830833516</v>
      </c>
      <c r="AQ42" s="6">
        <f>[2]!BexGetData("DP_1","00O2TNJGODT0K39D8MCMQUZWK","5000","5600")</f>
        <v>1.99965830833516</v>
      </c>
      <c r="AR42" s="2">
        <f>[2]!BexGetData("DP_1","00O2TNJGODT0K39D8MCMQWR44","5000","5600")</f>
        <v>40176284.600000001</v>
      </c>
      <c r="AS42" s="16">
        <f>[2]!BexGetData("DP_1","00O2TNJGODT0K39D8MCMQXGEC","5000","5600")</f>
        <v>1.14683294656868</v>
      </c>
      <c r="AT42" s="2">
        <f>[2]!BexGetData("DP_1","00O2TNJGODT0K39D8MCMQXMPW","5000","5600")</f>
        <v>5899202.25</v>
      </c>
      <c r="AU42" s="5">
        <f>[2]!BexGetData("DP_1","00O2TNJGODT0K39D8MCMQXT1G","5000","5600")</f>
        <v>0</v>
      </c>
    </row>
    <row r="43" spans="1:47" x14ac:dyDescent="0.2">
      <c r="A43" s="1" t="s">
        <v>12</v>
      </c>
      <c r="B43" s="1" t="s">
        <v>100</v>
      </c>
      <c r="C43" s="4" t="str">
        <f>[2]!BexGetData("DP_1","00O2TNJGODT0K39D8MCMQEUDG","5000","5800")</f>
        <v/>
      </c>
      <c r="D43" s="4" t="str">
        <f>[2]!BexGetData("DP_1","00O2TNJGODT0K39D8MCMQF0P0","5000","5800")</f>
        <v/>
      </c>
      <c r="E43" s="4" t="str">
        <f>[2]!BexGetData("DP_1","00O2TNJGODT0K39D8MCMQF70K","5000","5800")</f>
        <v/>
      </c>
      <c r="F43" s="4" t="str">
        <f>[2]!BexGetData("DP_1","00O2TNJGODT0K39D8MCMQFDC4","5000","5800")</f>
        <v/>
      </c>
      <c r="G43" s="4" t="str">
        <f>[2]!BexGetData("DP_1","00O2TNJGODT0K39D8MCMQFJNO","5000","5800")</f>
        <v/>
      </c>
      <c r="H43" s="2">
        <f>[2]!BexGetData("DP_1","00O2TNJGODT0K39D8MCMQGLL0","5000","5800")</f>
        <v>337397048</v>
      </c>
      <c r="I43" s="2">
        <f>[2]!BexGetData("DP_1","00O2TNJGODT0K39D8MCMQHNIC","5000","5800")</f>
        <v>-324800048</v>
      </c>
      <c r="J43" s="2">
        <f>[2]!BexGetData("DP_1","00O2TNJGODT0K3B5ZBNSUNZD9","5000","5800")</f>
        <v>12597000</v>
      </c>
      <c r="K43" s="2">
        <f>[2]!BexGetData("DP_1","00O2TNJGODT0K39D8MCMQHTTW","5000","5800")</f>
        <v>12597000</v>
      </c>
      <c r="L43" s="2">
        <f>[2]!BexGetData("DP_1","00O2TNJGODT0K39D8MCMQI05G","5000","5800")</f>
        <v>1647048</v>
      </c>
      <c r="M43" s="2">
        <f>[2]!BexGetData("DP_1","00O2TNJGODT0K39D8MCMQI6H0","5000","5800")</f>
        <v>-48</v>
      </c>
      <c r="N43" s="2">
        <f>[2]!BexGetData("DP_1","00O2TNJGODT0K39D8MCMQICSK","5000","5800")</f>
        <v>10950000</v>
      </c>
      <c r="O43" s="4" t="str">
        <f>[2]!BexGetData("DP_1","00O2TNJGODT0K39D8MCMQIJ44","5000","5800")</f>
        <v/>
      </c>
      <c r="P43" s="5">
        <f>[2]!BexGetData("DP_1","00O2TNJGODT0K39D8MCMQIVR8","5000","5800")</f>
        <v>0</v>
      </c>
      <c r="Q43" s="2">
        <f>[2]!BexGetData("DP_1","00O2TNJGODT0K39D8MCMQJ22S","5000","5800")</f>
        <v>12597000</v>
      </c>
      <c r="R43" s="2">
        <f>[2]!BexGetData("DP_1","00O2TNJGODT0K39D8MCMQJRD0","5000","5800")</f>
        <v>12597000</v>
      </c>
      <c r="S43" s="2">
        <f>[2]!BexGetData("DP_1","00O2TNJGODT0K39D8MCMQLIKK","5000","5800")</f>
        <v>-12597000</v>
      </c>
      <c r="T43" s="5">
        <f>[2]!BexGetData("DP_1","00O2TNJGODT0K39D8MCMQLOW4","5000","5800")</f>
        <v>0</v>
      </c>
      <c r="U43" s="2">
        <f>[2]!BexGetData("DP_1","00O2TNJGODT0K39D8MCMQJXOK","5000","5800")</f>
        <v>12597000</v>
      </c>
      <c r="V43" s="5">
        <f>[2]!BexGetData("DP_1","00O2TNJGODT0K39D8MCMQO5DW","5000","5800")</f>
        <v>0</v>
      </c>
      <c r="W43" s="2">
        <f>[2]!BexGetData("DP_1","00O2TNJGODT0K39D8MCMQP7B8","5000","5800")</f>
        <v>1647000</v>
      </c>
      <c r="X43" s="2">
        <f>[2]!BexGetData("DP_1","00O2TNJGODT0K39D8MCMQQ98K","5000","5800")</f>
        <v>10950000</v>
      </c>
      <c r="Y43" s="5">
        <f>[2]!BexGetData("DP_1","00O2TNJGODT0K39D8MCMQRB5W","5000","5800")</f>
        <v>0</v>
      </c>
      <c r="Z43" s="5">
        <f>[2]!BexGetData("DP_1","00O2TNJGODT0K39D8MCMQSD38","5000","5800")</f>
        <v>0</v>
      </c>
      <c r="AA43" s="5">
        <f>[2]!BexGetData("DP_1","00O2TNJGODT0K39D8MCMQSJES","5000","5800")</f>
        <v>0</v>
      </c>
      <c r="AB43" s="2">
        <f>[2]!BexGetData("DP_1","00O2TNJGODT0K39D8MCMQKABO","5000","5800")</f>
        <v>12597000</v>
      </c>
      <c r="AC43" s="5">
        <f>[2]!BexGetData("DP_1","00O2TNJGODT0K39D8MCMQOBPG","5000","5800")</f>
        <v>0</v>
      </c>
      <c r="AD43" s="2">
        <f>[2]!BexGetData("DP_1","00O2TNJGODT0K39D8MCMQPDMS","5000","5800")</f>
        <v>1647000</v>
      </c>
      <c r="AE43" s="2">
        <f>[2]!BexGetData("DP_1","00O2TNJGODT0K39D8MCMQQFK4","5000","5800")</f>
        <v>10950000</v>
      </c>
      <c r="AF43" s="5">
        <f>[2]!BexGetData("DP_1","00O2TNJGODT0K39D8MCMQRHHG","5000","5800")</f>
        <v>0</v>
      </c>
      <c r="AG43" s="5">
        <f>[2]!BexGetData("DP_1","00O2TNJGODT0K39D8MCMQSPQC","5000","5800")</f>
        <v>0</v>
      </c>
      <c r="AH43" s="2">
        <f>[2]!BexGetData("DP_1","00O2TNE7L9CBERF5UWFY00YGS","5000","5800")</f>
        <v>12597000</v>
      </c>
      <c r="AI43" s="5">
        <f>[2]!BexGetData("DP_1","00O2TNJGODT0K39D8MCMQOI10","5000","5800")</f>
        <v>0</v>
      </c>
      <c r="AJ43" s="2">
        <f>[2]!BexGetData("DP_1","00O2TNJGODT0K39D8MCMQPJYC","5000","5800")</f>
        <v>1647000</v>
      </c>
      <c r="AK43" s="2">
        <f>[2]!BexGetData("DP_1","00O2TNJGODT0K39D8MCMQQLVO","5000","5800")</f>
        <v>10950000</v>
      </c>
      <c r="AL43" s="5">
        <f>[2]!BexGetData("DP_1","00O2TNJGODT0K39D8MCMQRNT0","5000","5800")</f>
        <v>0</v>
      </c>
      <c r="AM43" s="5">
        <f>[2]!BexGetData("DP_1","00O2TNJGODT0K39D8MCMQSW1W","5000","5800")</f>
        <v>0</v>
      </c>
      <c r="AN43" s="5">
        <f>[2]!BexGetData("DP_1","00O2TNJGODT0K39D8MCMQT8P0","5000","5800")</f>
        <v>0</v>
      </c>
      <c r="AO43" s="2">
        <f>[2]!BexGetData("DP_1","00O2TNJGODT0K39D8MCMQUGXW","5000","5800")</f>
        <v>12597000</v>
      </c>
      <c r="AP43" s="7">
        <f>[2]!BexGetData("DP_1","00O2TNJGODT0K39D8MCMQUN9G","5000","5800")</f>
        <v>0</v>
      </c>
      <c r="AQ43" s="7">
        <f>[2]!BexGetData("DP_1","00O2TNJGODT0K39D8MCMQUZWK","5000","5800")</f>
        <v>0</v>
      </c>
      <c r="AR43" s="2">
        <f>[2]!BexGetData("DP_1","00O2TNJGODT0K39D8MCMQWR44","5000","5800")</f>
        <v>17878000</v>
      </c>
      <c r="AS43" s="16">
        <f>[2]!BexGetData("DP_1","00O2TNJGODT0K39D8MCMQXGEC","5000","5800")</f>
        <v>0.70460901666853004</v>
      </c>
      <c r="AT43" s="2">
        <f>[2]!BexGetData("DP_1","00O2TNJGODT0K39D8MCMQXMPW","5000","5800")</f>
        <v>-5281000</v>
      </c>
      <c r="AU43" s="5">
        <f>[2]!BexGetData("DP_1","00O2TNJGODT0K39D8MCMQXT1G","5000","5800")</f>
        <v>0</v>
      </c>
    </row>
    <row r="44" spans="1:47" x14ac:dyDescent="0.2">
      <c r="A44" s="1" t="s">
        <v>12</v>
      </c>
      <c r="B44" s="1" t="s">
        <v>114</v>
      </c>
      <c r="C44" s="2">
        <f>[2]!BexGetData("DP_1","00O2TNJGODT0K39D8MCMQEUDG","5000","5900")</f>
        <v>408000</v>
      </c>
      <c r="D44" s="3">
        <f>[2]!BexGetData("DP_1","00O2TNJGODT0K39D8MCMQF0P0","5000","5900")</f>
        <v>102000</v>
      </c>
      <c r="E44" s="3">
        <f>[2]!BexGetData("DP_1","00O2TNJGODT0K39D8MCMQF70K","5000","5900")</f>
        <v>102000</v>
      </c>
      <c r="F44" s="3">
        <f>[2]!BexGetData("DP_1","00O2TNJGODT0K39D8MCMQFDC4","5000","5900")</f>
        <v>102000</v>
      </c>
      <c r="G44" s="3">
        <f>[2]!BexGetData("DP_1","00O2TNJGODT0K39D8MCMQFJNO","5000","5900")</f>
        <v>102000</v>
      </c>
      <c r="H44" s="2">
        <f>[2]!BexGetData("DP_1","00O2TNJGODT0K39D8MCMQGLL0","5000","5900")</f>
        <v>158631395.56999999</v>
      </c>
      <c r="I44" s="2">
        <f>[2]!BexGetData("DP_1","00O2TNJGODT0K39D8MCMQHNIC","5000","5900")</f>
        <v>-99344759.709999993</v>
      </c>
      <c r="J44" s="2">
        <f>[2]!BexGetData("DP_1","00O2TNJGODT0K3B5ZBNSUNZD9","5000","5900")</f>
        <v>59286635.859999999</v>
      </c>
      <c r="K44" s="2">
        <f>[2]!BexGetData("DP_1","00O2TNJGODT0K39D8MCMQHTTW","5000","5900")</f>
        <v>59694635.859999999</v>
      </c>
      <c r="L44" s="2">
        <f>[2]!BexGetData("DP_1","00O2TNJGODT0K39D8MCMQI05G","5000","5900")</f>
        <v>10924704.25</v>
      </c>
      <c r="M44" s="2">
        <f>[2]!BexGetData("DP_1","00O2TNJGODT0K39D8MCMQI6H0","5000","5900")</f>
        <v>36972584.560000002</v>
      </c>
      <c r="N44" s="2">
        <f>[2]!BexGetData("DP_1","00O2TNJGODT0K39D8MCMQICSK","5000","5900")</f>
        <v>15075489.82</v>
      </c>
      <c r="O44" s="2">
        <f>[2]!BexGetData("DP_1","00O2TNJGODT0K39D8MCMQIJ44","5000","5900")</f>
        <v>-3278142.77</v>
      </c>
      <c r="P44" s="5">
        <f>[2]!BexGetData("DP_1","00O2TNJGODT0K39D8MCMQIVR8","5000","5900")</f>
        <v>0</v>
      </c>
      <c r="Q44" s="2">
        <f>[2]!BexGetData("DP_1","00O2TNJGODT0K39D8MCMQJ22S","5000","5900")</f>
        <v>59694635.859999999</v>
      </c>
      <c r="R44" s="2">
        <f>[2]!BexGetData("DP_1","00O2TNJGODT0K39D8MCMQJRD0","5000","5900")</f>
        <v>58478388.369999997</v>
      </c>
      <c r="S44" s="2">
        <f>[2]!BexGetData("DP_1","00O2TNJGODT0K39D8MCMQLIKK","5000","5900")</f>
        <v>-58478388.369999997</v>
      </c>
      <c r="T44" s="2">
        <f>[2]!BexGetData("DP_1","00O2TNJGODT0K39D8MCMQLOW4","5000","5900")</f>
        <v>1216247.49</v>
      </c>
      <c r="U44" s="2">
        <f>[2]!BexGetData("DP_1","00O2TNJGODT0K39D8MCMQJXOK","5000","5900")</f>
        <v>57820248.450000003</v>
      </c>
      <c r="V44" s="2">
        <f>[2]!BexGetData("DP_1","00O2TNJGODT0K39D8MCMQO5DW","5000","5900")</f>
        <v>6043487.1200000001</v>
      </c>
      <c r="W44" s="2">
        <f>[2]!BexGetData("DP_1","00O2TNJGODT0K39D8MCMQP7B8","5000","5900")</f>
        <v>19530362.27</v>
      </c>
      <c r="X44" s="2">
        <f>[2]!BexGetData("DP_1","00O2TNJGODT0K39D8MCMQQ98K","5000","5900")</f>
        <v>3190281.92</v>
      </c>
      <c r="Y44" s="2">
        <f>[2]!BexGetData("DP_1","00O2TNJGODT0K39D8MCMQRB5W","5000","5900")</f>
        <v>29056117.140000001</v>
      </c>
      <c r="Z44" s="2">
        <f>[2]!BexGetData("DP_1","00O2TNJGODT0K39D8MCMQSD38","5000","5900")</f>
        <v>658139.92000000004</v>
      </c>
      <c r="AA44" s="2">
        <f>[2]!BexGetData("DP_1","00O2TNJGODT0K39D8MCMQSJES","5000","5900")</f>
        <v>1874387.41</v>
      </c>
      <c r="AB44" s="2">
        <f>[2]!BexGetData("DP_1","00O2TNJGODT0K39D8MCMQKABO","5000","5900")</f>
        <v>55586398.450000003</v>
      </c>
      <c r="AC44" s="2">
        <f>[2]!BexGetData("DP_1","00O2TNJGODT0K39D8MCMQOBPG","5000","5900")</f>
        <v>6013907.1200000001</v>
      </c>
      <c r="AD44" s="2">
        <f>[2]!BexGetData("DP_1","00O2TNJGODT0K39D8MCMQPDMS","5000","5900")</f>
        <v>7134271.0899999999</v>
      </c>
      <c r="AE44" s="2">
        <f>[2]!BexGetData("DP_1","00O2TNJGODT0K39D8MCMQQFK4","5000","5900")</f>
        <v>14503196.65</v>
      </c>
      <c r="AF44" s="2">
        <f>[2]!BexGetData("DP_1","00O2TNJGODT0K39D8MCMQRHHG","5000","5900")</f>
        <v>27935023.59</v>
      </c>
      <c r="AG44" s="2">
        <f>[2]!BexGetData("DP_1","00O2TNJGODT0K39D8MCMQSPQC","5000","5900")</f>
        <v>2233850</v>
      </c>
      <c r="AH44" s="2">
        <f>[2]!BexGetData("DP_1","00O2TNE7L9CBERF5UWFY00YGS","5000","5900")</f>
        <v>37751762.479999997</v>
      </c>
      <c r="AI44" s="2">
        <f>[2]!BexGetData("DP_1","00O2TNJGODT0K39D8MCMQOI10","5000","5900")</f>
        <v>6000000</v>
      </c>
      <c r="AJ44" s="2">
        <f>[2]!BexGetData("DP_1","00O2TNJGODT0K39D8MCMQPJYC","5000","5900")</f>
        <v>2069167.12</v>
      </c>
      <c r="AK44" s="2">
        <f>[2]!BexGetData("DP_1","00O2TNJGODT0K39D8MCMQQLVO","5000","5900")</f>
        <v>13625969.67</v>
      </c>
      <c r="AL44" s="2">
        <f>[2]!BexGetData("DP_1","00O2TNJGODT0K39D8MCMQRNT0","5000","5900")</f>
        <v>16056625.689999999</v>
      </c>
      <c r="AM44" s="2">
        <f>[2]!BexGetData("DP_1","00O2TNJGODT0K39D8MCMQSW1W","5000","5900")</f>
        <v>17834635.969999999</v>
      </c>
      <c r="AN44" s="2">
        <f>[2]!BexGetData("DP_1","00O2TNJGODT0K39D8MCMQT8P0","5000","5900")</f>
        <v>1874387.41</v>
      </c>
      <c r="AO44" s="2">
        <f>[2]!BexGetData("DP_1","00O2TNJGODT0K39D8MCMQUGXW","5000","5900")</f>
        <v>59694635.859999999</v>
      </c>
      <c r="AP44" s="6">
        <f>[2]!BexGetData("DP_1","00O2TNJGODT0K39D8MCMQUN9G","5000","5900")</f>
        <v>141.71629522058799</v>
      </c>
      <c r="AQ44" s="6">
        <f>[2]!BexGetData("DP_1","00O2TNJGODT0K39D8MCMQUZWK","5000","5900")</f>
        <v>141.71629522058799</v>
      </c>
      <c r="AR44" s="2">
        <f>[2]!BexGetData("DP_1","00O2TNJGODT0K39D8MCMQWR44","5000","5900")</f>
        <v>21233979.66</v>
      </c>
      <c r="AS44" s="16">
        <f>[2]!BexGetData("DP_1","00O2TNJGODT0K39D8MCMQXGEC","5000","5900")</f>
        <v>2.7230057377760502</v>
      </c>
      <c r="AT44" s="2">
        <f>[2]!BexGetData("DP_1","00O2TNJGODT0K39D8MCMQXMPW","5000","5900")</f>
        <v>36586268.789999999</v>
      </c>
      <c r="AU44" s="5">
        <f>[2]!BexGetData("DP_1","00O2TNJGODT0K39D8MCMQXT1G","5000","5900")</f>
        <v>0</v>
      </c>
    </row>
    <row r="45" spans="1:47" x14ac:dyDescent="0.2">
      <c r="A45" s="1" t="s">
        <v>12</v>
      </c>
      <c r="B45" s="10" t="s">
        <v>88</v>
      </c>
      <c r="C45" s="11">
        <f>[2]!BexGetData("DP_1","00O2TNJGODT0K39D8MCMQEUDG","5000","SUMME")</f>
        <v>79938824.260000005</v>
      </c>
      <c r="D45" s="12">
        <f>[2]!BexGetData("DP_1","00O2TNJGODT0K39D8MCMQF0P0","5000","SUMME")</f>
        <v>5028688.49</v>
      </c>
      <c r="E45" s="12">
        <f>[2]!BexGetData("DP_1","00O2TNJGODT0K39D8MCMQF70K","5000","SUMME")</f>
        <v>73533724.939999998</v>
      </c>
      <c r="F45" s="12">
        <f>[2]!BexGetData("DP_1","00O2TNJGODT0K39D8MCMQFDC4","5000","SUMME")</f>
        <v>775241</v>
      </c>
      <c r="G45" s="12">
        <f>[2]!BexGetData("DP_1","00O2TNJGODT0K39D8MCMQFJNO","5000","SUMME")</f>
        <v>601169.82999999996</v>
      </c>
      <c r="H45" s="11">
        <f>[2]!BexGetData("DP_1","00O2TNJGODT0K39D8MCMQGLL0","5000","SUMME")</f>
        <v>2354606011.2800002</v>
      </c>
      <c r="I45" s="11">
        <f>[2]!BexGetData("DP_1","00O2TNJGODT0K39D8MCMQHNIC","5000","SUMME")</f>
        <v>-1647250791.8699999</v>
      </c>
      <c r="J45" s="11">
        <f>[2]!BexGetData("DP_1","00O2TNJGODT0K3B5ZBNSUNZD9","5000","SUMME")</f>
        <v>707355219.40999997</v>
      </c>
      <c r="K45" s="11">
        <f>[2]!BexGetData("DP_1","00O2TNJGODT0K39D8MCMQHTTW","5000","SUMME")</f>
        <v>787294043.66999996</v>
      </c>
      <c r="L45" s="11">
        <f>[2]!BexGetData("DP_1","00O2TNJGODT0K39D8MCMQI05G","5000","SUMME")</f>
        <v>80974983.980000004</v>
      </c>
      <c r="M45" s="11">
        <f>[2]!BexGetData("DP_1","00O2TNJGODT0K39D8MCMQI6H0","5000","SUMME")</f>
        <v>145371975.56</v>
      </c>
      <c r="N45" s="11">
        <f>[2]!BexGetData("DP_1","00O2TNJGODT0K39D8MCMQICSK","5000","SUMME")</f>
        <v>377536993.56999999</v>
      </c>
      <c r="O45" s="11">
        <f>[2]!BexGetData("DP_1","00O2TNJGODT0K39D8MCMQIJ44","5000","SUMME")</f>
        <v>183410090.56</v>
      </c>
      <c r="P45" s="11">
        <f>[2]!BexGetData("DP_1","00O2TNJGODT0K39D8MCMQIVR8","5000","SUMME")</f>
        <v>29105</v>
      </c>
      <c r="Q45" s="11">
        <f>[2]!BexGetData("DP_1","00O2TNJGODT0K39D8MCMQJ22S","5000","SUMME")</f>
        <v>787264938.66999996</v>
      </c>
      <c r="R45" s="11">
        <f>[2]!BexGetData("DP_1","00O2TNJGODT0K39D8MCMQJRD0","5000","SUMME")</f>
        <v>751220501.5</v>
      </c>
      <c r="S45" s="11">
        <f>[2]!BexGetData("DP_1","00O2TNJGODT0K39D8MCMQLIKK","5000","SUMME")</f>
        <v>-751191396.5</v>
      </c>
      <c r="T45" s="11">
        <f>[2]!BexGetData("DP_1","00O2TNJGODT0K39D8MCMQLOW4","5000","SUMME")</f>
        <v>36044437.170000002</v>
      </c>
      <c r="U45" s="11">
        <f>[2]!BexGetData("DP_1","00O2TNJGODT0K39D8MCMQJXOK","5000","SUMME")</f>
        <v>744514211.46000004</v>
      </c>
      <c r="V45" s="11">
        <f>[2]!BexGetData("DP_1","00O2TNJGODT0K39D8MCMQO5DW","5000","SUMME")</f>
        <v>12477643.699999999</v>
      </c>
      <c r="W45" s="11">
        <f>[2]!BexGetData("DP_1","00O2TNJGODT0K39D8MCMQP7B8","5000","SUMME")</f>
        <v>47994051.399999999</v>
      </c>
      <c r="X45" s="11">
        <f>[2]!BexGetData("DP_1","00O2TNJGODT0K39D8MCMQQ98K","5000","SUMME")</f>
        <v>385119380.11000001</v>
      </c>
      <c r="Y45" s="11">
        <f>[2]!BexGetData("DP_1","00O2TNJGODT0K39D8MCMQRB5W","5000","SUMME")</f>
        <v>298923136.25</v>
      </c>
      <c r="Z45" s="11">
        <f>[2]!BexGetData("DP_1","00O2TNJGODT0K39D8MCMQSD38","5000","SUMME")</f>
        <v>6706290.04</v>
      </c>
      <c r="AA45" s="11">
        <f>[2]!BexGetData("DP_1","00O2TNJGODT0K39D8MCMQSJES","5000","SUMME")</f>
        <v>42779832.210000001</v>
      </c>
      <c r="AB45" s="11">
        <f>[2]!BexGetData("DP_1","00O2TNJGODT0K39D8MCMQKABO","5000","SUMME")</f>
        <v>740425098.85000002</v>
      </c>
      <c r="AC45" s="11">
        <f>[2]!BexGetData("DP_1","00O2TNJGODT0K39D8MCMQOBPG","5000","SUMME")</f>
        <v>12219346.76</v>
      </c>
      <c r="AD45" s="11">
        <f>[2]!BexGetData("DP_1","00O2TNJGODT0K39D8MCMQPDMS","5000","SUMME")</f>
        <v>32709071.510000002</v>
      </c>
      <c r="AE45" s="11">
        <f>[2]!BexGetData("DP_1","00O2TNJGODT0K39D8MCMQQFK4","5000","SUMME")</f>
        <v>394074893.10000002</v>
      </c>
      <c r="AF45" s="11">
        <f>[2]!BexGetData("DP_1","00O2TNJGODT0K39D8MCMQRHHG","5000","SUMME")</f>
        <v>301421787.48000002</v>
      </c>
      <c r="AG45" s="11">
        <f>[2]!BexGetData("DP_1","00O2TNJGODT0K39D8MCMQSPQC","5000","SUMME")</f>
        <v>4089112.61</v>
      </c>
      <c r="AH45" s="11">
        <f>[2]!BexGetData("DP_1","00O2TNE7L9CBERF5UWFY00YGS","5000","SUMME")</f>
        <v>637799753.64999998</v>
      </c>
      <c r="AI45" s="11">
        <f>[2]!BexGetData("DP_1","00O2TNJGODT0K39D8MCMQOI10","5000","SUMME")</f>
        <v>9700856.3900000006</v>
      </c>
      <c r="AJ45" s="11">
        <f>[2]!BexGetData("DP_1","00O2TNJGODT0K39D8MCMQPJYC","5000","SUMME")</f>
        <v>24932807.760000002</v>
      </c>
      <c r="AK45" s="11">
        <f>[2]!BexGetData("DP_1","00O2TNJGODT0K39D8MCMQQLVO","5000","SUMME")</f>
        <v>367009027</v>
      </c>
      <c r="AL45" s="11">
        <f>[2]!BexGetData("DP_1","00O2TNJGODT0K39D8MCMQRNT0","5000","SUMME")</f>
        <v>236157062.5</v>
      </c>
      <c r="AM45" s="11">
        <f>[2]!BexGetData("DP_1","00O2TNJGODT0K39D8MCMQSW1W","5000","SUMME")</f>
        <v>102625345.2</v>
      </c>
      <c r="AN45" s="11">
        <f>[2]!BexGetData("DP_1","00O2TNJGODT0K39D8MCMQT8P0","5000","SUMME")</f>
        <v>42779832.210000001</v>
      </c>
      <c r="AO45" s="11">
        <f>[2]!BexGetData("DP_1","00O2TNJGODT0K39D8MCMQUGXW","5000","SUMME")</f>
        <v>787294043.66999996</v>
      </c>
      <c r="AP45" s="15">
        <f>[2]!BexGetData("DP_1","00O2TNJGODT0K39D8MCMQUN9G","5000","SUMME")</f>
        <v>9.3135496844246397</v>
      </c>
      <c r="AQ45" s="15">
        <f>[2]!BexGetData("DP_1","00O2TNJGODT0K39D8MCMQUZWK","5000","SUMME")</f>
        <v>9.3135496844246397</v>
      </c>
      <c r="AR45" s="11">
        <f>[2]!BexGetData("DP_1","00O2TNJGODT0K39D8MCMQWR44","5000","SUMME")</f>
        <v>196467235.38</v>
      </c>
      <c r="AS45" s="17">
        <f>[2]!BexGetData("DP_1","00O2TNJGODT0K39D8MCMQXGEC","5000","SUMME")</f>
        <v>3.7895082608557402</v>
      </c>
      <c r="AT45" s="11">
        <f>[2]!BexGetData("DP_1","00O2TNJGODT0K39D8MCMQXMPW","5000","SUMME")</f>
        <v>548046976.08000004</v>
      </c>
      <c r="AU45" s="14">
        <f>[2]!BexGetData("DP_1","00O2TNJGODT0K39D8MCMQXT1G","5000","SUMME")</f>
        <v>0</v>
      </c>
    </row>
    <row r="46" spans="1:47" x14ac:dyDescent="0.2">
      <c r="A46" s="1" t="s">
        <v>90</v>
      </c>
      <c r="B46" s="1" t="s">
        <v>91</v>
      </c>
      <c r="C46" s="2">
        <f>[2]!BexGetData("DP_1","00O2TNJGODT0K39D8MCMQEUDG","6000","6100")</f>
        <v>3276958295.5999999</v>
      </c>
      <c r="D46" s="3">
        <f>[2]!BexGetData("DP_1","00O2TNJGODT0K39D8MCMQF0P0","6000","6100")</f>
        <v>888417309.73000002</v>
      </c>
      <c r="E46" s="3">
        <f>[2]!BexGetData("DP_1","00O2TNJGODT0K39D8MCMQF70K","6000","6100")</f>
        <v>732529902.64999998</v>
      </c>
      <c r="F46" s="3">
        <f>[2]!BexGetData("DP_1","00O2TNJGODT0K39D8MCMQFDC4","6000","6100")</f>
        <v>1330206481.79</v>
      </c>
      <c r="G46" s="3">
        <f>[2]!BexGetData("DP_1","00O2TNJGODT0K39D8MCMQFJNO","6000","6100")</f>
        <v>325804601.43000001</v>
      </c>
      <c r="H46" s="2">
        <f>[2]!BexGetData("DP_1","00O2TNJGODT0K39D8MCMQGLL0","6000","6100")</f>
        <v>3331402572.8000002</v>
      </c>
      <c r="I46" s="2">
        <f>[2]!BexGetData("DP_1","00O2TNJGODT0K39D8MCMQHNIC","6000","6100")</f>
        <v>-3263502122.1599998</v>
      </c>
      <c r="J46" s="2">
        <f>[2]!BexGetData("DP_1","00O2TNJGODT0K3B5ZBNSUNZD9","6000","6100")</f>
        <v>67900450.640000001</v>
      </c>
      <c r="K46" s="2">
        <f>[2]!BexGetData("DP_1","00O2TNJGODT0K39D8MCMQHTTW","6000","6100")</f>
        <v>3344858746.2399998</v>
      </c>
      <c r="L46" s="2">
        <f>[2]!BexGetData("DP_1","00O2TNJGODT0K39D8MCMQI05G","6000","6100")</f>
        <v>1541281755.6300001</v>
      </c>
      <c r="M46" s="2">
        <f>[2]!BexGetData("DP_1","00O2TNJGODT0K39D8MCMQI6H0","6000","6100")</f>
        <v>759455132.34000003</v>
      </c>
      <c r="N46" s="2">
        <f>[2]!BexGetData("DP_1","00O2TNJGODT0K39D8MCMQICSK","6000","6100")</f>
        <v>1268937818.9100001</v>
      </c>
      <c r="O46" s="2">
        <f>[2]!BexGetData("DP_1","00O2TNJGODT0K39D8MCMQIJ44","6000","6100")</f>
        <v>-224815960.63999999</v>
      </c>
      <c r="P46" s="4" t="str">
        <f>[2]!BexGetData("DP_1","00O2TNJGODT0K39D8MCMQIVR8","6000","6100")</f>
        <v/>
      </c>
      <c r="Q46" s="2">
        <f>[2]!BexGetData("DP_1","00O2TNJGODT0K39D8MCMQJ22S","6000","6100")</f>
        <v>3344858746.2399998</v>
      </c>
      <c r="R46" s="2">
        <f>[2]!BexGetData("DP_1","00O2TNJGODT0K39D8MCMQJRD0","6000","6100")</f>
        <v>2444971108.4299998</v>
      </c>
      <c r="S46" s="2">
        <f>[2]!BexGetData("DP_1","00O2TNJGODT0K39D8MCMQLIKK","6000","6100")</f>
        <v>-2444971108.4299998</v>
      </c>
      <c r="T46" s="2">
        <f>[2]!BexGetData("DP_1","00O2TNJGODT0K39D8MCMQLOW4","6000","6100")</f>
        <v>899887637.80999994</v>
      </c>
      <c r="U46" s="2">
        <f>[2]!BexGetData("DP_1","00O2TNJGODT0K39D8MCMQJXOK","6000","6100")</f>
        <v>1714098693.6199999</v>
      </c>
      <c r="V46" s="2">
        <f>[2]!BexGetData("DP_1","00O2TNJGODT0K39D8MCMQO5DW","6000","6100")</f>
        <v>255379208.16</v>
      </c>
      <c r="W46" s="2">
        <f>[2]!BexGetData("DP_1","00O2TNJGODT0K39D8MCMQP7B8","6000","6100")</f>
        <v>351076030.49000001</v>
      </c>
      <c r="X46" s="2">
        <f>[2]!BexGetData("DP_1","00O2TNJGODT0K39D8MCMQQ98K","6000","6100")</f>
        <v>227863264.81999999</v>
      </c>
      <c r="Y46" s="2">
        <f>[2]!BexGetData("DP_1","00O2TNJGODT0K39D8MCMQRB5W","6000","6100")</f>
        <v>879780190.14999998</v>
      </c>
      <c r="Z46" s="2">
        <f>[2]!BexGetData("DP_1","00O2TNJGODT0K39D8MCMQSD38","6000","6100")</f>
        <v>730872414.80999994</v>
      </c>
      <c r="AA46" s="2">
        <f>[2]!BexGetData("DP_1","00O2TNJGODT0K39D8MCMQSJES","6000","6100")</f>
        <v>1630760052.6199999</v>
      </c>
      <c r="AB46" s="2">
        <f>[2]!BexGetData("DP_1","00O2TNJGODT0K39D8MCMQKABO","6000","6100")</f>
        <v>1674793611.0999999</v>
      </c>
      <c r="AC46" s="2">
        <f>[2]!BexGetData("DP_1","00O2TNJGODT0K39D8MCMQOBPG","6000","6100")</f>
        <v>199884933.31999999</v>
      </c>
      <c r="AD46" s="2">
        <f>[2]!BexGetData("DP_1","00O2TNJGODT0K39D8MCMQPDMS","6000","6100")</f>
        <v>376380508.68000001</v>
      </c>
      <c r="AE46" s="2">
        <f>[2]!BexGetData("DP_1","00O2TNJGODT0K39D8MCMQQFK4","6000","6100")</f>
        <v>198076945.28999999</v>
      </c>
      <c r="AF46" s="2">
        <f>[2]!BexGetData("DP_1","00O2TNJGODT0K39D8MCMQRHHG","6000","6100")</f>
        <v>900451223.80999994</v>
      </c>
      <c r="AG46" s="2">
        <f>[2]!BexGetData("DP_1","00O2TNJGODT0K39D8MCMQSPQC","6000","6100")</f>
        <v>39305082.520000003</v>
      </c>
      <c r="AH46" s="2">
        <f>[2]!BexGetData("DP_1","00O2TNE7L9CBERF5UWFY00YGS","6000","6100")</f>
        <v>1482607319.9000001</v>
      </c>
      <c r="AI46" s="2">
        <f>[2]!BexGetData("DP_1","00O2TNJGODT0K39D8MCMQOI10","6000","6100")</f>
        <v>186066834.99000001</v>
      </c>
      <c r="AJ46" s="2">
        <f>[2]!BexGetData("DP_1","00O2TNJGODT0K39D8MCMQPJYC","6000","6100")</f>
        <v>383250642.45999998</v>
      </c>
      <c r="AK46" s="2">
        <f>[2]!BexGetData("DP_1","00O2TNJGODT0K39D8MCMQQLVO","6000","6100")</f>
        <v>159468618.40000001</v>
      </c>
      <c r="AL46" s="2">
        <f>[2]!BexGetData("DP_1","00O2TNJGODT0K39D8MCMQRNT0","6000","6100")</f>
        <v>753821224.04999995</v>
      </c>
      <c r="AM46" s="2">
        <f>[2]!BexGetData("DP_1","00O2TNJGODT0K39D8MCMQSW1W","6000","6100")</f>
        <v>192186291.19999999</v>
      </c>
      <c r="AN46" s="2">
        <f>[2]!BexGetData("DP_1","00O2TNJGODT0K39D8MCMQT8P0","6000","6100")</f>
        <v>1630760052.6199999</v>
      </c>
      <c r="AO46" s="2">
        <f>[2]!BexGetData("DP_1","00O2TNJGODT0K39D8MCMQUGXW","6000","6100")</f>
        <v>3344858746.2399998</v>
      </c>
      <c r="AP46" s="6">
        <f>[2]!BexGetData("DP_1","00O2TNJGODT0K39D8MCMQUN9G","6000","6100")</f>
        <v>0.52307613921163998</v>
      </c>
      <c r="AQ46" s="6">
        <f>[2]!BexGetData("DP_1","00O2TNJGODT0K39D8MCMQUZWK","6000","6100")</f>
        <v>0.52307613921163998</v>
      </c>
      <c r="AR46" s="2">
        <f>[2]!BexGetData("DP_1","00O2TNJGODT0K39D8MCMQWR44","6000","6100")</f>
        <v>519397602.88999999</v>
      </c>
      <c r="AS46" s="16">
        <f>[2]!BexGetData("DP_1","00O2TNJGODT0K39D8MCMQXGEC","6000","6100")</f>
        <v>3.3001667394737999</v>
      </c>
      <c r="AT46" s="2">
        <f>[2]!BexGetData("DP_1","00O2TNJGODT0K39D8MCMQXMPW","6000","6100")</f>
        <v>1194701090.73</v>
      </c>
      <c r="AU46" s="5">
        <f>[2]!BexGetData("DP_1","00O2TNJGODT0K39D8MCMQXT1G","6000","6100")</f>
        <v>0</v>
      </c>
    </row>
    <row r="47" spans="1:47" x14ac:dyDescent="0.2">
      <c r="A47" s="1" t="s">
        <v>12</v>
      </c>
      <c r="B47" s="1" t="s">
        <v>115</v>
      </c>
      <c r="C47" s="2">
        <f>[2]!BexGetData("DP_1","00O2TNJGODT0K39D8MCMQEUDG","6000","6200")</f>
        <v>786467617.89999998</v>
      </c>
      <c r="D47" s="3">
        <f>[2]!BexGetData("DP_1","00O2TNJGODT0K39D8MCMQF0P0","6000","6200")</f>
        <v>150438843.40000001</v>
      </c>
      <c r="E47" s="3">
        <f>[2]!BexGetData("DP_1","00O2TNJGODT0K39D8MCMQF70K","6000","6200")</f>
        <v>217538973.5</v>
      </c>
      <c r="F47" s="3">
        <f>[2]!BexGetData("DP_1","00O2TNJGODT0K39D8MCMQFDC4","6000","6200")</f>
        <v>285838047.19999999</v>
      </c>
      <c r="G47" s="3">
        <f>[2]!BexGetData("DP_1","00O2TNJGODT0K39D8MCMQFJNO","6000","6200")</f>
        <v>132651753.8</v>
      </c>
      <c r="H47" s="2">
        <f>[2]!BexGetData("DP_1","00O2TNJGODT0K39D8MCMQGLL0","6000","6200")</f>
        <v>955210751.96000004</v>
      </c>
      <c r="I47" s="2">
        <f>[2]!BexGetData("DP_1","00O2TNJGODT0K39D8MCMQHNIC","6000","6200")</f>
        <v>-1057522318.47</v>
      </c>
      <c r="J47" s="2">
        <f>[2]!BexGetData("DP_1","00O2TNJGODT0K3B5ZBNSUNZD9","6000","6200")</f>
        <v>-102311566.51000001</v>
      </c>
      <c r="K47" s="2">
        <f>[2]!BexGetData("DP_1","00O2TNJGODT0K39D8MCMQHTTW","6000","6200")</f>
        <v>684156051.38999999</v>
      </c>
      <c r="L47" s="2">
        <f>[2]!BexGetData("DP_1","00O2TNJGODT0K39D8MCMQI05G","6000","6200")</f>
        <v>417221499.75</v>
      </c>
      <c r="M47" s="2">
        <f>[2]!BexGetData("DP_1","00O2TNJGODT0K39D8MCMQI6H0","6000","6200")</f>
        <v>-159854885.13999999</v>
      </c>
      <c r="N47" s="2">
        <f>[2]!BexGetData("DP_1","00O2TNJGODT0K39D8MCMQICSK","6000","6200")</f>
        <v>321939657.44</v>
      </c>
      <c r="O47" s="2">
        <f>[2]!BexGetData("DP_1","00O2TNJGODT0K39D8MCMQIJ44","6000","6200")</f>
        <v>104849779.34</v>
      </c>
      <c r="P47" s="5">
        <f>[2]!BexGetData("DP_1","00O2TNJGODT0K39D8MCMQIVR8","6000","6200")</f>
        <v>0</v>
      </c>
      <c r="Q47" s="2">
        <f>[2]!BexGetData("DP_1","00O2TNJGODT0K39D8MCMQJ22S","6000","6200")</f>
        <v>684156051.38999999</v>
      </c>
      <c r="R47" s="2">
        <f>[2]!BexGetData("DP_1","00O2TNJGODT0K39D8MCMQJRD0","6000","6200")</f>
        <v>536871183.13</v>
      </c>
      <c r="S47" s="2">
        <f>[2]!BexGetData("DP_1","00O2TNJGODT0K39D8MCMQLIKK","6000","6200")</f>
        <v>-536871183.13</v>
      </c>
      <c r="T47" s="2">
        <f>[2]!BexGetData("DP_1","00O2TNJGODT0K39D8MCMQLOW4","6000","6200")</f>
        <v>147284868.25999999</v>
      </c>
      <c r="U47" s="2">
        <f>[2]!BexGetData("DP_1","00O2TNJGODT0K39D8MCMQJXOK","6000","6200")</f>
        <v>458573226.05000001</v>
      </c>
      <c r="V47" s="2">
        <f>[2]!BexGetData("DP_1","00O2TNJGODT0K39D8MCMQO5DW","6000","6200")</f>
        <v>126277093.67</v>
      </c>
      <c r="W47" s="2">
        <f>[2]!BexGetData("DP_1","00O2TNJGODT0K39D8MCMQP7B8","6000","6200")</f>
        <v>144693963.74000001</v>
      </c>
      <c r="X47" s="2">
        <f>[2]!BexGetData("DP_1","00O2TNJGODT0K39D8MCMQQ98K","6000","6200")</f>
        <v>68281186.519999996</v>
      </c>
      <c r="Y47" s="2">
        <f>[2]!BexGetData("DP_1","00O2TNJGODT0K39D8MCMQRB5W","6000","6200")</f>
        <v>119320982.12</v>
      </c>
      <c r="Z47" s="2">
        <f>[2]!BexGetData("DP_1","00O2TNJGODT0K39D8MCMQSD38","6000","6200")</f>
        <v>78297957.079999998</v>
      </c>
      <c r="AA47" s="2">
        <f>[2]!BexGetData("DP_1","00O2TNJGODT0K39D8MCMQSJES","6000","6200")</f>
        <v>225582825.34</v>
      </c>
      <c r="AB47" s="2">
        <f>[2]!BexGetData("DP_1","00O2TNJGODT0K39D8MCMQKABO","6000","6200")</f>
        <v>453094443.61000001</v>
      </c>
      <c r="AC47" s="2">
        <f>[2]!BexGetData("DP_1","00O2TNJGODT0K39D8MCMQOBPG","6000","6200")</f>
        <v>89502555.769999996</v>
      </c>
      <c r="AD47" s="2">
        <f>[2]!BexGetData("DP_1","00O2TNJGODT0K39D8MCMQPDMS","6000","6200")</f>
        <v>164223691.93000001</v>
      </c>
      <c r="AE47" s="2">
        <f>[2]!BexGetData("DP_1","00O2TNJGODT0K39D8MCMQQFK4","6000","6200")</f>
        <v>64439528.68</v>
      </c>
      <c r="AF47" s="2">
        <f>[2]!BexGetData("DP_1","00O2TNJGODT0K39D8MCMQRHHG","6000","6200")</f>
        <v>134928667.22999999</v>
      </c>
      <c r="AG47" s="2">
        <f>[2]!BexGetData("DP_1","00O2TNJGODT0K39D8MCMQSPQC","6000","6200")</f>
        <v>5478782.4400000004</v>
      </c>
      <c r="AH47" s="2">
        <f>[2]!BexGetData("DP_1","00O2TNE7L9CBERF5UWFY00YGS","6000","6200")</f>
        <v>386319602.31</v>
      </c>
      <c r="AI47" s="2">
        <f>[2]!BexGetData("DP_1","00O2TNJGODT0K39D8MCMQOI10","6000","6200")</f>
        <v>89502555.769999996</v>
      </c>
      <c r="AJ47" s="2">
        <f>[2]!BexGetData("DP_1","00O2TNJGODT0K39D8MCMQPJYC","6000","6200")</f>
        <v>158578231.88999999</v>
      </c>
      <c r="AK47" s="2">
        <f>[2]!BexGetData("DP_1","00O2TNJGODT0K39D8MCMQQLVO","6000","6200")</f>
        <v>60698472.439999998</v>
      </c>
      <c r="AL47" s="2">
        <f>[2]!BexGetData("DP_1","00O2TNJGODT0K39D8MCMQRNT0","6000","6200")</f>
        <v>77540342.209999993</v>
      </c>
      <c r="AM47" s="2">
        <f>[2]!BexGetData("DP_1","00O2TNJGODT0K39D8MCMQSW1W","6000","6200")</f>
        <v>66774841.299999997</v>
      </c>
      <c r="AN47" s="2">
        <f>[2]!BexGetData("DP_1","00O2TNJGODT0K39D8MCMQT8P0","6000","6200")</f>
        <v>225582825.34</v>
      </c>
      <c r="AO47" s="2">
        <f>[2]!BexGetData("DP_1","00O2TNJGODT0K39D8MCMQUGXW","6000","6200")</f>
        <v>684156051.38999999</v>
      </c>
      <c r="AP47" s="6">
        <f>[2]!BexGetData("DP_1","00O2TNJGODT0K39D8MCMQUN9G","6000","6200")</f>
        <v>0.58307960253274005</v>
      </c>
      <c r="AQ47" s="6">
        <f>[2]!BexGetData("DP_1","00O2TNJGODT0K39D8MCMQUZWK","6000","6200")</f>
        <v>0.58307960253274005</v>
      </c>
      <c r="AR47" s="2">
        <f>[2]!BexGetData("DP_1","00O2TNJGODT0K39D8MCMQWR44","6000","6200")</f>
        <v>1335286053.6500001</v>
      </c>
      <c r="AS47" s="16">
        <f>[2]!BexGetData("DP_1","00O2TNJGODT0K39D8MCMQXGEC","6000","6200")</f>
        <v>0.34342695694042003</v>
      </c>
      <c r="AT47" s="2">
        <f>[2]!BexGetData("DP_1","00O2TNJGODT0K39D8MCMQXMPW","6000","6200")</f>
        <v>-876712827.60000002</v>
      </c>
      <c r="AU47" s="5">
        <f>[2]!BexGetData("DP_1","00O2TNJGODT0K39D8MCMQXT1G","6000","6200")</f>
        <v>0</v>
      </c>
    </row>
    <row r="48" spans="1:47" x14ac:dyDescent="0.2">
      <c r="A48" s="1" t="s">
        <v>12</v>
      </c>
      <c r="B48" s="10" t="s">
        <v>88</v>
      </c>
      <c r="C48" s="11">
        <f>[2]!BexGetData("DP_1","00O2TNJGODT0K39D8MCMQEUDG","6000","SUMME")</f>
        <v>4063425913.5</v>
      </c>
      <c r="D48" s="12">
        <f>[2]!BexGetData("DP_1","00O2TNJGODT0K39D8MCMQF0P0","6000","SUMME")</f>
        <v>1038856153.13</v>
      </c>
      <c r="E48" s="12">
        <f>[2]!BexGetData("DP_1","00O2TNJGODT0K39D8MCMQF70K","6000","SUMME")</f>
        <v>950068876.14999998</v>
      </c>
      <c r="F48" s="12">
        <f>[2]!BexGetData("DP_1","00O2TNJGODT0K39D8MCMQFDC4","6000","SUMME")</f>
        <v>1616044528.99</v>
      </c>
      <c r="G48" s="12">
        <f>[2]!BexGetData("DP_1","00O2TNJGODT0K39D8MCMQFJNO","6000","SUMME")</f>
        <v>458456355.23000002</v>
      </c>
      <c r="H48" s="11">
        <f>[2]!BexGetData("DP_1","00O2TNJGODT0K39D8MCMQGLL0","6000","SUMME")</f>
        <v>4286613324.7600002</v>
      </c>
      <c r="I48" s="11">
        <f>[2]!BexGetData("DP_1","00O2TNJGODT0K39D8MCMQHNIC","6000","SUMME")</f>
        <v>-4321024440.6300001</v>
      </c>
      <c r="J48" s="11">
        <f>[2]!BexGetData("DP_1","00O2TNJGODT0K3B5ZBNSUNZD9","6000","SUMME")</f>
        <v>-34411115.869999997</v>
      </c>
      <c r="K48" s="11">
        <f>[2]!BexGetData("DP_1","00O2TNJGODT0K39D8MCMQHTTW","6000","SUMME")</f>
        <v>4029014797.6300001</v>
      </c>
      <c r="L48" s="11">
        <f>[2]!BexGetData("DP_1","00O2TNJGODT0K39D8MCMQI05G","6000","SUMME")</f>
        <v>1958503255.3800001</v>
      </c>
      <c r="M48" s="11">
        <f>[2]!BexGetData("DP_1","00O2TNJGODT0K39D8MCMQI6H0","6000","SUMME")</f>
        <v>599600247.20000005</v>
      </c>
      <c r="N48" s="11">
        <f>[2]!BexGetData("DP_1","00O2TNJGODT0K39D8MCMQICSK","6000","SUMME")</f>
        <v>1590877476.3499999</v>
      </c>
      <c r="O48" s="11">
        <f>[2]!BexGetData("DP_1","00O2TNJGODT0K39D8MCMQIJ44","6000","SUMME")</f>
        <v>-119966181.3</v>
      </c>
      <c r="P48" s="14">
        <f>[2]!BexGetData("DP_1","00O2TNJGODT0K39D8MCMQIVR8","6000","SUMME")</f>
        <v>0</v>
      </c>
      <c r="Q48" s="11">
        <f>[2]!BexGetData("DP_1","00O2TNJGODT0K39D8MCMQJ22S","6000","SUMME")</f>
        <v>4029014797.6300001</v>
      </c>
      <c r="R48" s="11">
        <f>[2]!BexGetData("DP_1","00O2TNJGODT0K39D8MCMQJRD0","6000","SUMME")</f>
        <v>2981842291.5599999</v>
      </c>
      <c r="S48" s="11">
        <f>[2]!BexGetData("DP_1","00O2TNJGODT0K39D8MCMQLIKK","6000","SUMME")</f>
        <v>-2981842291.5599999</v>
      </c>
      <c r="T48" s="11">
        <f>[2]!BexGetData("DP_1","00O2TNJGODT0K39D8MCMQLOW4","6000","SUMME")</f>
        <v>1047172506.0700001</v>
      </c>
      <c r="U48" s="11">
        <f>[2]!BexGetData("DP_1","00O2TNJGODT0K39D8MCMQJXOK","6000","SUMME")</f>
        <v>2172671919.6700001</v>
      </c>
      <c r="V48" s="11">
        <f>[2]!BexGetData("DP_1","00O2TNJGODT0K39D8MCMQO5DW","6000","SUMME")</f>
        <v>381656301.82999998</v>
      </c>
      <c r="W48" s="11">
        <f>[2]!BexGetData("DP_1","00O2TNJGODT0K39D8MCMQP7B8","6000","SUMME")</f>
        <v>495769994.23000002</v>
      </c>
      <c r="X48" s="11">
        <f>[2]!BexGetData("DP_1","00O2TNJGODT0K39D8MCMQQ98K","6000","SUMME")</f>
        <v>296144451.33999997</v>
      </c>
      <c r="Y48" s="11">
        <f>[2]!BexGetData("DP_1","00O2TNJGODT0K39D8MCMQRB5W","6000","SUMME")</f>
        <v>999101172.26999998</v>
      </c>
      <c r="Z48" s="11">
        <f>[2]!BexGetData("DP_1","00O2TNJGODT0K39D8MCMQSD38","6000","SUMME")</f>
        <v>809170371.88999999</v>
      </c>
      <c r="AA48" s="11">
        <f>[2]!BexGetData("DP_1","00O2TNJGODT0K39D8MCMQSJES","6000","SUMME")</f>
        <v>1856342877.96</v>
      </c>
      <c r="AB48" s="11">
        <f>[2]!BexGetData("DP_1","00O2TNJGODT0K39D8MCMQKABO","6000","SUMME")</f>
        <v>2127888054.71</v>
      </c>
      <c r="AC48" s="11">
        <f>[2]!BexGetData("DP_1","00O2TNJGODT0K39D8MCMQOBPG","6000","SUMME")</f>
        <v>289387489.08999997</v>
      </c>
      <c r="AD48" s="11">
        <f>[2]!BexGetData("DP_1","00O2TNJGODT0K39D8MCMQPDMS","6000","SUMME")</f>
        <v>540604200.61000001</v>
      </c>
      <c r="AE48" s="11">
        <f>[2]!BexGetData("DP_1","00O2TNJGODT0K39D8MCMQQFK4","6000","SUMME")</f>
        <v>262516473.97</v>
      </c>
      <c r="AF48" s="11">
        <f>[2]!BexGetData("DP_1","00O2TNJGODT0K39D8MCMQRHHG","6000","SUMME")</f>
        <v>1035379891.04</v>
      </c>
      <c r="AG48" s="11">
        <f>[2]!BexGetData("DP_1","00O2TNJGODT0K39D8MCMQSPQC","6000","SUMME")</f>
        <v>44783864.960000001</v>
      </c>
      <c r="AH48" s="11">
        <f>[2]!BexGetData("DP_1","00O2TNE7L9CBERF5UWFY00YGS","6000","SUMME")</f>
        <v>1868926922.21</v>
      </c>
      <c r="AI48" s="11">
        <f>[2]!BexGetData("DP_1","00O2TNJGODT0K39D8MCMQOI10","6000","SUMME")</f>
        <v>275569390.75999999</v>
      </c>
      <c r="AJ48" s="11">
        <f>[2]!BexGetData("DP_1","00O2TNJGODT0K39D8MCMQPJYC","6000","SUMME")</f>
        <v>541828874.35000002</v>
      </c>
      <c r="AK48" s="11">
        <f>[2]!BexGetData("DP_1","00O2TNJGODT0K39D8MCMQQLVO","6000","SUMME")</f>
        <v>220167090.84</v>
      </c>
      <c r="AL48" s="11">
        <f>[2]!BexGetData("DP_1","00O2TNJGODT0K39D8MCMQRNT0","6000","SUMME")</f>
        <v>831361566.25999999</v>
      </c>
      <c r="AM48" s="11">
        <f>[2]!BexGetData("DP_1","00O2TNJGODT0K39D8MCMQSW1W","6000","SUMME")</f>
        <v>258961132.5</v>
      </c>
      <c r="AN48" s="11">
        <f>[2]!BexGetData("DP_1","00O2TNJGODT0K39D8MCMQT8P0","6000","SUMME")</f>
        <v>1856342877.96</v>
      </c>
      <c r="AO48" s="11">
        <f>[2]!BexGetData("DP_1","00O2TNJGODT0K39D8MCMQUGXW","6000","SUMME")</f>
        <v>4029014797.6300001</v>
      </c>
      <c r="AP48" s="15">
        <f>[2]!BexGetData("DP_1","00O2TNJGODT0K39D8MCMQUN9G","6000","SUMME")</f>
        <v>0.53468968449791998</v>
      </c>
      <c r="AQ48" s="15">
        <f>[2]!BexGetData("DP_1","00O2TNJGODT0K39D8MCMQUZWK","6000","SUMME")</f>
        <v>0.53468968449791998</v>
      </c>
      <c r="AR48" s="11">
        <f>[2]!BexGetData("DP_1","00O2TNJGODT0K39D8MCMQWR44","6000","SUMME")</f>
        <v>1854683656.54</v>
      </c>
      <c r="AS48" s="17">
        <f>[2]!BexGetData("DP_1","00O2TNJGODT0K39D8MCMQXGEC","6000","SUMME")</f>
        <v>1.17145148284922</v>
      </c>
      <c r="AT48" s="11">
        <f>[2]!BexGetData("DP_1","00O2TNJGODT0K39D8MCMQXMPW","6000","SUMME")</f>
        <v>317988263.13</v>
      </c>
      <c r="AU48" s="14">
        <f>[2]!BexGetData("DP_1","00O2TNJGODT0K39D8MCMQXT1G","6000","SUMME")</f>
        <v>0</v>
      </c>
    </row>
    <row r="49" spans="1:47" x14ac:dyDescent="0.2">
      <c r="A49" s="1" t="s">
        <v>116</v>
      </c>
      <c r="B49" s="1" t="s">
        <v>117</v>
      </c>
      <c r="C49" s="2">
        <f>[2]!BexGetData("DP_1","00O2TNJGODT0K39D8MCMQEUDG","7000","7900")</f>
        <v>383422081</v>
      </c>
      <c r="D49" s="3">
        <f>[2]!BexGetData("DP_1","00O2TNJGODT0K39D8MCMQF0P0","7000","7900")</f>
        <v>80234415</v>
      </c>
      <c r="E49" s="3">
        <f>[2]!BexGetData("DP_1","00O2TNJGODT0K39D8MCMQF70K","7000","7900")</f>
        <v>266687664</v>
      </c>
      <c r="F49" s="3">
        <f>[2]!BexGetData("DP_1","00O2TNJGODT0K39D8MCMQFDC4","7000","7900")</f>
        <v>18249999</v>
      </c>
      <c r="G49" s="3">
        <f>[2]!BexGetData("DP_1","00O2TNJGODT0K39D8MCMQFJNO","7000","7900")</f>
        <v>18250003</v>
      </c>
      <c r="H49" s="2">
        <f>[2]!BexGetData("DP_1","00O2TNJGODT0K39D8MCMQGLL0","7000","7900")</f>
        <v>4465726474.3199997</v>
      </c>
      <c r="I49" s="2">
        <f>[2]!BexGetData("DP_1","00O2TNJGODT0K39D8MCMQHNIC","7000","7900")</f>
        <v>-4798431548.3100004</v>
      </c>
      <c r="J49" s="2">
        <f>[2]!BexGetData("DP_1","00O2TNJGODT0K3B5ZBNSUNZD9","7000","7900")</f>
        <v>-332705073.99000001</v>
      </c>
      <c r="K49" s="2">
        <f>[2]!BexGetData("DP_1","00O2TNJGODT0K39D8MCMQHTTW","7000","7900")</f>
        <v>50717007.009999998</v>
      </c>
      <c r="L49" s="2">
        <f>[2]!BexGetData("DP_1","00O2TNJGODT0K39D8MCMQI05G","7000","7900")</f>
        <v>80234415</v>
      </c>
      <c r="M49" s="2">
        <f>[2]!BexGetData("DP_1","00O2TNJGODT0K39D8MCMQI6H0","7000","7900")</f>
        <v>151098109.65000001</v>
      </c>
      <c r="N49" s="2">
        <f>[2]!BexGetData("DP_1","00O2TNJGODT0K39D8MCMQICSK","7000","7900")</f>
        <v>-211061879.49000001</v>
      </c>
      <c r="O49" s="2">
        <f>[2]!BexGetData("DP_1","00O2TNJGODT0K39D8MCMQIJ44","7000","7900")</f>
        <v>30446361.850000001</v>
      </c>
      <c r="P49" s="4" t="str">
        <f>[2]!BexGetData("DP_1","00O2TNJGODT0K39D8MCMQIVR8","7000","7900")</f>
        <v/>
      </c>
      <c r="Q49" s="2">
        <f>[2]!BexGetData("DP_1","00O2TNJGODT0K39D8MCMQJ22S","7000","7900")</f>
        <v>50717007.009999998</v>
      </c>
      <c r="R49" s="4" t="str">
        <f>[2]!BexGetData("DP_1","00O2TNJGODT0K39D8MCMQJRD0","7000","7900")</f>
        <v/>
      </c>
      <c r="S49" s="4" t="str">
        <f>[2]!BexGetData("DP_1","00O2TNJGODT0K39D8MCMQLIKK","7000","7900")</f>
        <v/>
      </c>
      <c r="T49" s="2">
        <f>[2]!BexGetData("DP_1","00O2TNJGODT0K39D8MCMQLOW4","7000","7900")</f>
        <v>50717007.009999998</v>
      </c>
      <c r="U49" s="4" t="str">
        <f>[2]!BexGetData("DP_1","00O2TNJGODT0K39D8MCMQJXOK","7000","7900")</f>
        <v/>
      </c>
      <c r="V49" s="5">
        <f>[2]!BexGetData("DP_1","00O2TNJGODT0K39D8MCMQO5DW","7000","7900")</f>
        <v>0</v>
      </c>
      <c r="W49" s="5">
        <f>[2]!BexGetData("DP_1","00O2TNJGODT0K39D8MCMQP7B8","7000","7900")</f>
        <v>0</v>
      </c>
      <c r="X49" s="5">
        <f>[2]!BexGetData("DP_1","00O2TNJGODT0K39D8MCMQQ98K","7000","7900")</f>
        <v>0</v>
      </c>
      <c r="Y49" s="5">
        <f>[2]!BexGetData("DP_1","00O2TNJGODT0K39D8MCMQRB5W","7000","7900")</f>
        <v>0</v>
      </c>
      <c r="Z49" s="5">
        <f>[2]!BexGetData("DP_1","00O2TNJGODT0K39D8MCMQSD38","7000","7900")</f>
        <v>0</v>
      </c>
      <c r="AA49" s="2">
        <f>[2]!BexGetData("DP_1","00O2TNJGODT0K39D8MCMQSJES","7000","7900")</f>
        <v>50717007.009999998</v>
      </c>
      <c r="AB49" s="4" t="str">
        <f>[2]!BexGetData("DP_1","00O2TNJGODT0K39D8MCMQKABO","7000","7900")</f>
        <v/>
      </c>
      <c r="AC49" s="5">
        <f>[2]!BexGetData("DP_1","00O2TNJGODT0K39D8MCMQOBPG","7000","7900")</f>
        <v>0</v>
      </c>
      <c r="AD49" s="5">
        <f>[2]!BexGetData("DP_1","00O2TNJGODT0K39D8MCMQPDMS","7000","7900")</f>
        <v>0</v>
      </c>
      <c r="AE49" s="5">
        <f>[2]!BexGetData("DP_1","00O2TNJGODT0K39D8MCMQQFK4","7000","7900")</f>
        <v>0</v>
      </c>
      <c r="AF49" s="5">
        <f>[2]!BexGetData("DP_1","00O2TNJGODT0K39D8MCMQRHHG","7000","7900")</f>
        <v>0</v>
      </c>
      <c r="AG49" s="4" t="str">
        <f>[2]!BexGetData("DP_1","00O2TNJGODT0K39D8MCMQSPQC","7000","7900")</f>
        <v/>
      </c>
      <c r="AH49" s="4" t="str">
        <f>[2]!BexGetData("DP_1","00O2TNE7L9CBERF5UWFY00YGS","7000","7900")</f>
        <v/>
      </c>
      <c r="AI49" s="5">
        <f>[2]!BexGetData("DP_1","00O2TNJGODT0K39D8MCMQOI10","7000","7900")</f>
        <v>0</v>
      </c>
      <c r="AJ49" s="5">
        <f>[2]!BexGetData("DP_1","00O2TNJGODT0K39D8MCMQPJYC","7000","7900")</f>
        <v>0</v>
      </c>
      <c r="AK49" s="5">
        <f>[2]!BexGetData("DP_1","00O2TNJGODT0K39D8MCMQQLVO","7000","7900")</f>
        <v>0</v>
      </c>
      <c r="AL49" s="5">
        <f>[2]!BexGetData("DP_1","00O2TNJGODT0K39D8MCMQRNT0","7000","7900")</f>
        <v>0</v>
      </c>
      <c r="AM49" s="4" t="str">
        <f>[2]!BexGetData("DP_1","00O2TNJGODT0K39D8MCMQSW1W","7000","7900")</f>
        <v/>
      </c>
      <c r="AN49" s="2">
        <f>[2]!BexGetData("DP_1","00O2TNJGODT0K39D8MCMQT8P0","7000","7900")</f>
        <v>50717007.009999998</v>
      </c>
      <c r="AO49" s="2">
        <f>[2]!BexGetData("DP_1","00O2TNJGODT0K39D8MCMQUGXW","7000","7900")</f>
        <v>50717007.009999998</v>
      </c>
      <c r="AP49" s="4" t="str">
        <f>[2]!BexGetData("DP_1","00O2TNJGODT0K39D8MCMQUN9G","7000","7900")</f>
        <v/>
      </c>
      <c r="AQ49" s="4" t="str">
        <f>[2]!BexGetData("DP_1","00O2TNJGODT0K39D8MCMQUZWK","7000","7900")</f>
        <v/>
      </c>
      <c r="AR49" s="4" t="str">
        <f>[2]!BexGetData("DP_1","00O2TNJGODT0K39D8MCMQWR44","7000","7900")</f>
        <v/>
      </c>
      <c r="AS49" s="4" t="str">
        <f>[2]!BexGetData("DP_1","00O2TNJGODT0K39D8MCMQXGEC","7000","7900")</f>
        <v/>
      </c>
      <c r="AT49" s="4" t="str">
        <f>[2]!BexGetData("DP_1","00O2TNJGODT0K39D8MCMQXMPW","7000","7900")</f>
        <v/>
      </c>
      <c r="AU49" s="5">
        <f>[2]!BexGetData("DP_1","00O2TNJGODT0K39D8MCMQXT1G","7000","7900")</f>
        <v>0</v>
      </c>
    </row>
    <row r="50" spans="1:47" x14ac:dyDescent="0.2">
      <c r="A50" s="1" t="s">
        <v>12</v>
      </c>
      <c r="B50" s="10" t="s">
        <v>88</v>
      </c>
      <c r="C50" s="11">
        <f>[2]!BexGetData("DP_1","00O2TNJGODT0K39D8MCMQEUDG","7000","SUMME")</f>
        <v>383422081</v>
      </c>
      <c r="D50" s="12">
        <f>[2]!BexGetData("DP_1","00O2TNJGODT0K39D8MCMQF0P0","7000","SUMME")</f>
        <v>80234415</v>
      </c>
      <c r="E50" s="12">
        <f>[2]!BexGetData("DP_1","00O2TNJGODT0K39D8MCMQF70K","7000","SUMME")</f>
        <v>266687664</v>
      </c>
      <c r="F50" s="12">
        <f>[2]!BexGetData("DP_1","00O2TNJGODT0K39D8MCMQFDC4","7000","SUMME")</f>
        <v>18249999</v>
      </c>
      <c r="G50" s="12">
        <f>[2]!BexGetData("DP_1","00O2TNJGODT0K39D8MCMQFJNO","7000","SUMME")</f>
        <v>18250003</v>
      </c>
      <c r="H50" s="11">
        <f>[2]!BexGetData("DP_1","00O2TNJGODT0K39D8MCMQGLL0","7000","SUMME")</f>
        <v>4465726474.3199997</v>
      </c>
      <c r="I50" s="11">
        <f>[2]!BexGetData("DP_1","00O2TNJGODT0K39D8MCMQHNIC","7000","SUMME")</f>
        <v>-4798431548.3100004</v>
      </c>
      <c r="J50" s="11">
        <f>[2]!BexGetData("DP_1","00O2TNJGODT0K3B5ZBNSUNZD9","7000","SUMME")</f>
        <v>-332705073.99000001</v>
      </c>
      <c r="K50" s="11">
        <f>[2]!BexGetData("DP_1","00O2TNJGODT0K39D8MCMQHTTW","7000","SUMME")</f>
        <v>50717007.009999998</v>
      </c>
      <c r="L50" s="11">
        <f>[2]!BexGetData("DP_1","00O2TNJGODT0K39D8MCMQI05G","7000","SUMME")</f>
        <v>80234415</v>
      </c>
      <c r="M50" s="11">
        <f>[2]!BexGetData("DP_1","00O2TNJGODT0K39D8MCMQI6H0","7000","SUMME")</f>
        <v>151098109.65000001</v>
      </c>
      <c r="N50" s="11">
        <f>[2]!BexGetData("DP_1","00O2TNJGODT0K39D8MCMQICSK","7000","SUMME")</f>
        <v>-211061879.49000001</v>
      </c>
      <c r="O50" s="11">
        <f>[2]!BexGetData("DP_1","00O2TNJGODT0K39D8MCMQIJ44","7000","SUMME")</f>
        <v>30446361.850000001</v>
      </c>
      <c r="P50" s="13" t="str">
        <f>[2]!BexGetData("DP_1","00O2TNJGODT0K39D8MCMQIVR8","7000","SUMME")</f>
        <v/>
      </c>
      <c r="Q50" s="11">
        <f>[2]!BexGetData("DP_1","00O2TNJGODT0K39D8MCMQJ22S","7000","SUMME")</f>
        <v>50717007.009999998</v>
      </c>
      <c r="R50" s="13" t="str">
        <f>[2]!BexGetData("DP_1","00O2TNJGODT0K39D8MCMQJRD0","7000","SUMME")</f>
        <v/>
      </c>
      <c r="S50" s="13" t="str">
        <f>[2]!BexGetData("DP_1","00O2TNJGODT0K39D8MCMQLIKK","7000","SUMME")</f>
        <v/>
      </c>
      <c r="T50" s="11">
        <f>[2]!BexGetData("DP_1","00O2TNJGODT0K39D8MCMQLOW4","7000","SUMME")</f>
        <v>50717007.009999998</v>
      </c>
      <c r="U50" s="13" t="str">
        <f>[2]!BexGetData("DP_1","00O2TNJGODT0K39D8MCMQJXOK","7000","SUMME")</f>
        <v/>
      </c>
      <c r="V50" s="14">
        <f>[2]!BexGetData("DP_1","00O2TNJGODT0K39D8MCMQO5DW","7000","SUMME")</f>
        <v>0</v>
      </c>
      <c r="W50" s="14">
        <f>[2]!BexGetData("DP_1","00O2TNJGODT0K39D8MCMQP7B8","7000","SUMME")</f>
        <v>0</v>
      </c>
      <c r="X50" s="14">
        <f>[2]!BexGetData("DP_1","00O2TNJGODT0K39D8MCMQQ98K","7000","SUMME")</f>
        <v>0</v>
      </c>
      <c r="Y50" s="14">
        <f>[2]!BexGetData("DP_1","00O2TNJGODT0K39D8MCMQRB5W","7000","SUMME")</f>
        <v>0</v>
      </c>
      <c r="Z50" s="14">
        <f>[2]!BexGetData("DP_1","00O2TNJGODT0K39D8MCMQSD38","7000","SUMME")</f>
        <v>0</v>
      </c>
      <c r="AA50" s="11">
        <f>[2]!BexGetData("DP_1","00O2TNJGODT0K39D8MCMQSJES","7000","SUMME")</f>
        <v>50717007.009999998</v>
      </c>
      <c r="AB50" s="13" t="str">
        <f>[2]!BexGetData("DP_1","00O2TNJGODT0K39D8MCMQKABO","7000","SUMME")</f>
        <v/>
      </c>
      <c r="AC50" s="14">
        <f>[2]!BexGetData("DP_1","00O2TNJGODT0K39D8MCMQOBPG","7000","SUMME")</f>
        <v>0</v>
      </c>
      <c r="AD50" s="14">
        <f>[2]!BexGetData("DP_1","00O2TNJGODT0K39D8MCMQPDMS","7000","SUMME")</f>
        <v>0</v>
      </c>
      <c r="AE50" s="14">
        <f>[2]!BexGetData("DP_1","00O2TNJGODT0K39D8MCMQQFK4","7000","SUMME")</f>
        <v>0</v>
      </c>
      <c r="AF50" s="14">
        <f>[2]!BexGetData("DP_1","00O2TNJGODT0K39D8MCMQRHHG","7000","SUMME")</f>
        <v>0</v>
      </c>
      <c r="AG50" s="13" t="str">
        <f>[2]!BexGetData("DP_1","00O2TNJGODT0K39D8MCMQSPQC","7000","SUMME")</f>
        <v/>
      </c>
      <c r="AH50" s="13" t="str">
        <f>[2]!BexGetData("DP_1","00O2TNE7L9CBERF5UWFY00YGS","7000","SUMME")</f>
        <v/>
      </c>
      <c r="AI50" s="14">
        <f>[2]!BexGetData("DP_1","00O2TNJGODT0K39D8MCMQOI10","7000","SUMME")</f>
        <v>0</v>
      </c>
      <c r="AJ50" s="14">
        <f>[2]!BexGetData("DP_1","00O2TNJGODT0K39D8MCMQPJYC","7000","SUMME")</f>
        <v>0</v>
      </c>
      <c r="AK50" s="14">
        <f>[2]!BexGetData("DP_1","00O2TNJGODT0K39D8MCMQQLVO","7000","SUMME")</f>
        <v>0</v>
      </c>
      <c r="AL50" s="14">
        <f>[2]!BexGetData("DP_1","00O2TNJGODT0K39D8MCMQRNT0","7000","SUMME")</f>
        <v>0</v>
      </c>
      <c r="AM50" s="13" t="str">
        <f>[2]!BexGetData("DP_1","00O2TNJGODT0K39D8MCMQSW1W","7000","SUMME")</f>
        <v/>
      </c>
      <c r="AN50" s="11">
        <f>[2]!BexGetData("DP_1","00O2TNJGODT0K39D8MCMQT8P0","7000","SUMME")</f>
        <v>50717007.009999998</v>
      </c>
      <c r="AO50" s="11">
        <f>[2]!BexGetData("DP_1","00O2TNJGODT0K39D8MCMQUGXW","7000","SUMME")</f>
        <v>50717007.009999998</v>
      </c>
      <c r="AP50" s="13" t="str">
        <f>[2]!BexGetData("DP_1","00O2TNJGODT0K39D8MCMQUN9G","7000","SUMME")</f>
        <v/>
      </c>
      <c r="AQ50" s="13" t="str">
        <f>[2]!BexGetData("DP_1","00O2TNJGODT0K39D8MCMQUZWK","7000","SUMME")</f>
        <v/>
      </c>
      <c r="AR50" s="13" t="str">
        <f>[2]!BexGetData("DP_1","00O2TNJGODT0K39D8MCMQWR44","7000","SUMME")</f>
        <v/>
      </c>
      <c r="AS50" s="13" t="str">
        <f>[2]!BexGetData("DP_1","00O2TNJGODT0K39D8MCMQXGEC","7000","SUMME")</f>
        <v/>
      </c>
      <c r="AT50" s="13" t="str">
        <f>[2]!BexGetData("DP_1","00O2TNJGODT0K39D8MCMQXMPW","7000","SUMME")</f>
        <v/>
      </c>
      <c r="AU50" s="14">
        <f>[2]!BexGetData("DP_1","00O2TNJGODT0K39D8MCMQXT1G","7000","SUMME")</f>
        <v>0</v>
      </c>
    </row>
    <row r="51" spans="1:47" x14ac:dyDescent="0.2">
      <c r="A51" s="1" t="s">
        <v>18</v>
      </c>
      <c r="B51" s="1" t="s">
        <v>84</v>
      </c>
      <c r="C51" s="2">
        <f>[2]!BexGetData("DP_1","00O2TNJGODT0K39D8MCMQEUDG","8000","8100")</f>
        <v>4142750947</v>
      </c>
      <c r="D51" s="3">
        <f>[2]!BexGetData("DP_1","00O2TNJGODT0K39D8MCMQF0P0","8000","8100")</f>
        <v>1034687718</v>
      </c>
      <c r="E51" s="3">
        <f>[2]!BexGetData("DP_1","00O2TNJGODT0K39D8MCMQF70K","8000","8100")</f>
        <v>1038687718</v>
      </c>
      <c r="F51" s="3">
        <f>[2]!BexGetData("DP_1","00O2TNJGODT0K39D8MCMQFDC4","8000","8100")</f>
        <v>1034687718</v>
      </c>
      <c r="G51" s="3">
        <f>[2]!BexGetData("DP_1","00O2TNJGODT0K39D8MCMQFJNO","8000","8100")</f>
        <v>1034687793</v>
      </c>
      <c r="H51" s="2">
        <f>[2]!BexGetData("DP_1","00O2TNJGODT0K39D8MCMQGLL0","8000","8100")</f>
        <v>1270321138.0899999</v>
      </c>
      <c r="I51" s="2">
        <f>[2]!BexGetData("DP_1","00O2TNJGODT0K39D8MCMQHNIC","8000","8100")</f>
        <v>-746549656.38</v>
      </c>
      <c r="J51" s="2">
        <f>[2]!BexGetData("DP_1","00O2TNJGODT0K3B5ZBNSUNZD9","8000","8100")</f>
        <v>523771481.70999998</v>
      </c>
      <c r="K51" s="2">
        <f>[2]!BexGetData("DP_1","00O2TNJGODT0K39D8MCMQHTTW","8000","8100")</f>
        <v>4666522428.71</v>
      </c>
      <c r="L51" s="2">
        <f>[2]!BexGetData("DP_1","00O2TNJGODT0K39D8MCMQI05G","8000","8100")</f>
        <v>1068566967.6</v>
      </c>
      <c r="M51" s="2">
        <f>[2]!BexGetData("DP_1","00O2TNJGODT0K39D8MCMQI6H0","8000","8100")</f>
        <v>988475466.79999995</v>
      </c>
      <c r="N51" s="2">
        <f>[2]!BexGetData("DP_1","00O2TNJGODT0K39D8MCMQICSK","8000","8100")</f>
        <v>1266772363.96</v>
      </c>
      <c r="O51" s="2">
        <f>[2]!BexGetData("DP_1","00O2TNJGODT0K39D8MCMQIJ44","8000","8100")</f>
        <v>1342707630.3499999</v>
      </c>
      <c r="P51" s="4" t="str">
        <f>[2]!BexGetData("DP_1","00O2TNJGODT0K39D8MCMQIVR8","8000","8100")</f>
        <v/>
      </c>
      <c r="Q51" s="2">
        <f>[2]!BexGetData("DP_1","00O2TNJGODT0K39D8MCMQJ22S","8000","8100")</f>
        <v>4666522428.71</v>
      </c>
      <c r="R51" s="2">
        <f>[2]!BexGetData("DP_1","00O2TNJGODT0K39D8MCMQJRD0","8000","8100")</f>
        <v>4666520190.8299999</v>
      </c>
      <c r="S51" s="2">
        <f>[2]!BexGetData("DP_1","00O2TNJGODT0K39D8MCMQLIKK","8000","8100")</f>
        <v>-4666520190.8299999</v>
      </c>
      <c r="T51" s="2">
        <f>[2]!BexGetData("DP_1","00O2TNJGODT0K39D8MCMQLOW4","8000","8100")</f>
        <v>2237.88</v>
      </c>
      <c r="U51" s="2">
        <f>[2]!BexGetData("DP_1","00O2TNJGODT0K39D8MCMQJXOK","8000","8100")</f>
        <v>4666520190.8299999</v>
      </c>
      <c r="V51" s="2">
        <f>[2]!BexGetData("DP_1","00O2TNJGODT0K39D8MCMQO5DW","8000","8100")</f>
        <v>1150297418.0699999</v>
      </c>
      <c r="W51" s="2">
        <f>[2]!BexGetData("DP_1","00O2TNJGODT0K39D8MCMQP7B8","8000","8100")</f>
        <v>1241526087.6400001</v>
      </c>
      <c r="X51" s="2">
        <f>[2]!BexGetData("DP_1","00O2TNJGODT0K39D8MCMQQ98K","8000","8100")</f>
        <v>1247205923.53</v>
      </c>
      <c r="Y51" s="2">
        <f>[2]!BexGetData("DP_1","00O2TNJGODT0K39D8MCMQRB5W","8000","8100")</f>
        <v>1027490761.59</v>
      </c>
      <c r="Z51" s="5">
        <f>[2]!BexGetData("DP_1","00O2TNJGODT0K39D8MCMQSD38","8000","8100")</f>
        <v>0</v>
      </c>
      <c r="AA51" s="2">
        <f>[2]!BexGetData("DP_1","00O2TNJGODT0K39D8MCMQSJES","8000","8100")</f>
        <v>2237.88</v>
      </c>
      <c r="AB51" s="2">
        <f>[2]!BexGetData("DP_1","00O2TNJGODT0K39D8MCMQKABO","8000","8100")</f>
        <v>4666520190.8299999</v>
      </c>
      <c r="AC51" s="2">
        <f>[2]!BexGetData("DP_1","00O2TNJGODT0K39D8MCMQOBPG","8000","8100")</f>
        <v>1150297418.0699999</v>
      </c>
      <c r="AD51" s="2">
        <f>[2]!BexGetData("DP_1","00O2TNJGODT0K39D8MCMQPDMS","8000","8100")</f>
        <v>1241526087.6400001</v>
      </c>
      <c r="AE51" s="2">
        <f>[2]!BexGetData("DP_1","00O2TNJGODT0K39D8MCMQQFK4","8000","8100")</f>
        <v>1247205923.53</v>
      </c>
      <c r="AF51" s="2">
        <f>[2]!BexGetData("DP_1","00O2TNJGODT0K39D8MCMQRHHG","8000","8100")</f>
        <v>1027490761.59</v>
      </c>
      <c r="AG51" s="5">
        <f>[2]!BexGetData("DP_1","00O2TNJGODT0K39D8MCMQSPQC","8000","8100")</f>
        <v>0</v>
      </c>
      <c r="AH51" s="2">
        <f>[2]!BexGetData("DP_1","00O2TNE7L9CBERF5UWFY00YGS","8000","8100")</f>
        <v>4666514633.2700005</v>
      </c>
      <c r="AI51" s="2">
        <f>[2]!BexGetData("DP_1","00O2TNJGODT0K39D8MCMQOI10","8000","8100")</f>
        <v>1146053959.0699999</v>
      </c>
      <c r="AJ51" s="2">
        <f>[2]!BexGetData("DP_1","00O2TNJGODT0K39D8MCMQPJYC","8000","8100")</f>
        <v>1245769546.6400001</v>
      </c>
      <c r="AK51" s="2">
        <f>[2]!BexGetData("DP_1","00O2TNJGODT0K39D8MCMQQLVO","8000","8100")</f>
        <v>1247205923.53</v>
      </c>
      <c r="AL51" s="2">
        <f>[2]!BexGetData("DP_1","00O2TNJGODT0K39D8MCMQRNT0","8000","8100")</f>
        <v>1027485204.03</v>
      </c>
      <c r="AM51" s="2">
        <f>[2]!BexGetData("DP_1","00O2TNJGODT0K39D8MCMQSW1W","8000","8100")</f>
        <v>5557.56</v>
      </c>
      <c r="AN51" s="2">
        <f>[2]!BexGetData("DP_1","00O2TNJGODT0K39D8MCMQT8P0","8000","8100")</f>
        <v>2237.88</v>
      </c>
      <c r="AO51" s="2">
        <f>[2]!BexGetData("DP_1","00O2TNJGODT0K39D8MCMQUGXW","8000","8100")</f>
        <v>4666522428.71</v>
      </c>
      <c r="AP51" s="6">
        <f>[2]!BexGetData("DP_1","00O2TNJGODT0K39D8MCMQUN9G","8000","8100")</f>
        <v>1.12643029970442</v>
      </c>
      <c r="AQ51" s="6">
        <f>[2]!BexGetData("DP_1","00O2TNJGODT0K39D8MCMQUZWK","8000","8100")</f>
        <v>1.12643029970442</v>
      </c>
      <c r="AR51" s="2">
        <f>[2]!BexGetData("DP_1","00O2TNJGODT0K39D8MCMQWR44","8000","8100")</f>
        <v>3848856992.4200001</v>
      </c>
      <c r="AS51" s="16">
        <f>[2]!BexGetData("DP_1","00O2TNJGODT0K39D8MCMQXGEC","8000","8100")</f>
        <v>1.2124431227297701</v>
      </c>
      <c r="AT51" s="2">
        <f>[2]!BexGetData("DP_1","00O2TNJGODT0K39D8MCMQXMPW","8000","8100")</f>
        <v>817663198.40999997</v>
      </c>
      <c r="AU51" s="5">
        <f>[2]!BexGetData("DP_1","00O2TNJGODT0K39D8MCMQXT1G","8000","8100")</f>
        <v>0</v>
      </c>
    </row>
    <row r="52" spans="1:47" x14ac:dyDescent="0.2">
      <c r="A52" s="1" t="s">
        <v>12</v>
      </c>
      <c r="B52" s="1" t="s">
        <v>85</v>
      </c>
      <c r="C52" s="2">
        <f>[2]!BexGetData("DP_1","00O2TNJGODT0K39D8MCMQEUDG","8000","8300")</f>
        <v>2193995973</v>
      </c>
      <c r="D52" s="3">
        <f>[2]!BexGetData("DP_1","00O2TNJGODT0K39D8MCMQF0P0","8000","8300")</f>
        <v>570060462</v>
      </c>
      <c r="E52" s="3">
        <f>[2]!BexGetData("DP_1","00O2TNJGODT0K39D8MCMQF70K","8000","8300")</f>
        <v>590360462</v>
      </c>
      <c r="F52" s="3">
        <f>[2]!BexGetData("DP_1","00O2TNJGODT0K39D8MCMQFDC4","8000","8300")</f>
        <v>570060462</v>
      </c>
      <c r="G52" s="3">
        <f>[2]!BexGetData("DP_1","00O2TNJGODT0K39D8MCMQFJNO","8000","8300")</f>
        <v>463514587</v>
      </c>
      <c r="H52" s="2">
        <f>[2]!BexGetData("DP_1","00O2TNJGODT0K39D8MCMQGLL0","8000","8300")</f>
        <v>595724025.99000001</v>
      </c>
      <c r="I52" s="2">
        <f>[2]!BexGetData("DP_1","00O2TNJGODT0K39D8MCMQHNIC","8000","8300")</f>
        <v>-558243528</v>
      </c>
      <c r="J52" s="2">
        <f>[2]!BexGetData("DP_1","00O2TNJGODT0K3B5ZBNSUNZD9","8000","8300")</f>
        <v>37480497.990000002</v>
      </c>
      <c r="K52" s="2">
        <f>[2]!BexGetData("DP_1","00O2TNJGODT0K39D8MCMQHTTW","8000","8300")</f>
        <v>2231476470.9899998</v>
      </c>
      <c r="L52" s="2">
        <f>[2]!BexGetData("DP_1","00O2TNJGODT0K39D8MCMQI05G","8000","8300")</f>
        <v>570558962.89999998</v>
      </c>
      <c r="M52" s="2">
        <f>[2]!BexGetData("DP_1","00O2TNJGODT0K39D8MCMQI6H0","8000","8300")</f>
        <v>596210462</v>
      </c>
      <c r="N52" s="2">
        <f>[2]!BexGetData("DP_1","00O2TNJGODT0K39D8MCMQICSK","8000","8300")</f>
        <v>583754517.05999994</v>
      </c>
      <c r="O52" s="2">
        <f>[2]!BexGetData("DP_1","00O2TNJGODT0K39D8MCMQIJ44","8000","8300")</f>
        <v>480952529.02999997</v>
      </c>
      <c r="P52" s="4" t="str">
        <f>[2]!BexGetData("DP_1","00O2TNJGODT0K39D8MCMQIVR8","8000","8300")</f>
        <v/>
      </c>
      <c r="Q52" s="2">
        <f>[2]!BexGetData("DP_1","00O2TNJGODT0K39D8MCMQJ22S","8000","8300")</f>
        <v>2231476470.9899998</v>
      </c>
      <c r="R52" s="2">
        <f>[2]!BexGetData("DP_1","00O2TNJGODT0K39D8MCMQJRD0","8000","8300")</f>
        <v>2229833638.02</v>
      </c>
      <c r="S52" s="2">
        <f>[2]!BexGetData("DP_1","00O2TNJGODT0K39D8MCMQLIKK","8000","8300")</f>
        <v>-2229833638.02</v>
      </c>
      <c r="T52" s="2">
        <f>[2]!BexGetData("DP_1","00O2TNJGODT0K39D8MCMQLOW4","8000","8300")</f>
        <v>1642832.97</v>
      </c>
      <c r="U52" s="2">
        <f>[2]!BexGetData("DP_1","00O2TNJGODT0K39D8MCMQJXOK","8000","8300")</f>
        <v>2229337183.8099999</v>
      </c>
      <c r="V52" s="2">
        <f>[2]!BexGetData("DP_1","00O2TNJGODT0K39D8MCMQO5DW","8000","8300")</f>
        <v>570589320.42999995</v>
      </c>
      <c r="W52" s="2">
        <f>[2]!BexGetData("DP_1","00O2TNJGODT0K39D8MCMQP7B8","8000","8300")</f>
        <v>576930819.52999997</v>
      </c>
      <c r="X52" s="2">
        <f>[2]!BexGetData("DP_1","00O2TNJGODT0K39D8MCMQQ98K","8000","8300")</f>
        <v>594496373.69000006</v>
      </c>
      <c r="Y52" s="2">
        <f>[2]!BexGetData("DP_1","00O2TNJGODT0K39D8MCMQRB5W","8000","8300")</f>
        <v>487320670.16000003</v>
      </c>
      <c r="Z52" s="2">
        <f>[2]!BexGetData("DP_1","00O2TNJGODT0K39D8MCMQSD38","8000","8300")</f>
        <v>496454.21</v>
      </c>
      <c r="AA52" s="2">
        <f>[2]!BexGetData("DP_1","00O2TNJGODT0K39D8MCMQSJES","8000","8300")</f>
        <v>2139287.1800000002</v>
      </c>
      <c r="AB52" s="2">
        <f>[2]!BexGetData("DP_1","00O2TNJGODT0K39D8MCMQKABO","8000","8300")</f>
        <v>2229337183.8099999</v>
      </c>
      <c r="AC52" s="2">
        <f>[2]!BexGetData("DP_1","00O2TNJGODT0K39D8MCMQOBPG","8000","8300")</f>
        <v>570589320.42999995</v>
      </c>
      <c r="AD52" s="2">
        <f>[2]!BexGetData("DP_1","00O2TNJGODT0K39D8MCMQPDMS","8000","8300")</f>
        <v>576930819.52999997</v>
      </c>
      <c r="AE52" s="2">
        <f>[2]!BexGetData("DP_1","00O2TNJGODT0K39D8MCMQQFK4","8000","8300")</f>
        <v>594496373.69000006</v>
      </c>
      <c r="AF52" s="2">
        <f>[2]!BexGetData("DP_1","00O2TNJGODT0K39D8MCMQRHHG","8000","8300")</f>
        <v>487320670.16000003</v>
      </c>
      <c r="AG52" s="5">
        <f>[2]!BexGetData("DP_1","00O2TNJGODT0K39D8MCMQSPQC","8000","8300")</f>
        <v>0</v>
      </c>
      <c r="AH52" s="2">
        <f>[2]!BexGetData("DP_1","00O2TNE7L9CBERF5UWFY00YGS","8000","8300")</f>
        <v>2228187183.8099999</v>
      </c>
      <c r="AI52" s="2">
        <f>[2]!BexGetData("DP_1","00O2TNJGODT0K39D8MCMQOI10","8000","8300")</f>
        <v>570040819.52999997</v>
      </c>
      <c r="AJ52" s="2">
        <f>[2]!BexGetData("DP_1","00O2TNJGODT0K39D8MCMQPJYC","8000","8300")</f>
        <v>575030819.52999997</v>
      </c>
      <c r="AK52" s="2">
        <f>[2]!BexGetData("DP_1","00O2TNJGODT0K39D8MCMQQLVO","8000","8300")</f>
        <v>596894608.34000003</v>
      </c>
      <c r="AL52" s="2">
        <f>[2]!BexGetData("DP_1","00O2TNJGODT0K39D8MCMQRNT0","8000","8300")</f>
        <v>486220936.41000003</v>
      </c>
      <c r="AM52" s="2">
        <f>[2]!BexGetData("DP_1","00O2TNJGODT0K39D8MCMQSW1W","8000","8300")</f>
        <v>1150000</v>
      </c>
      <c r="AN52" s="2">
        <f>[2]!BexGetData("DP_1","00O2TNJGODT0K39D8MCMQT8P0","8000","8300")</f>
        <v>2139287.1800000002</v>
      </c>
      <c r="AO52" s="2">
        <f>[2]!BexGetData("DP_1","00O2TNJGODT0K39D8MCMQUGXW","8000","8300")</f>
        <v>2231476470.9899998</v>
      </c>
      <c r="AP52" s="6">
        <f>[2]!BexGetData("DP_1","00O2TNJGODT0K39D8MCMQUN9G","8000","8300")</f>
        <v>1.0161081475284901</v>
      </c>
      <c r="AQ52" s="6">
        <f>[2]!BexGetData("DP_1","00O2TNJGODT0K39D8MCMQUZWK","8000","8300")</f>
        <v>1.0161081475284901</v>
      </c>
      <c r="AR52" s="2">
        <f>[2]!BexGetData("DP_1","00O2TNJGODT0K39D8MCMQWR44","8000","8300")</f>
        <v>2014225541.5599999</v>
      </c>
      <c r="AS52" s="16">
        <f>[2]!BexGetData("DP_1","00O2TNJGODT0K39D8MCMQXGEC","8000","8300")</f>
        <v>1.10679620420432</v>
      </c>
      <c r="AT52" s="2">
        <f>[2]!BexGetData("DP_1","00O2TNJGODT0K39D8MCMQXMPW","8000","8300")</f>
        <v>215111642.25</v>
      </c>
      <c r="AU52" s="5">
        <f>[2]!BexGetData("DP_1","00O2TNJGODT0K39D8MCMQXT1G","8000","8300")</f>
        <v>0</v>
      </c>
    </row>
    <row r="53" spans="1:47" x14ac:dyDescent="0.2">
      <c r="A53" s="1" t="s">
        <v>12</v>
      </c>
      <c r="B53" s="1" t="s">
        <v>101</v>
      </c>
      <c r="C53" s="2">
        <f>[2]!BexGetData("DP_1","00O2TNJGODT0K39D8MCMQEUDG","8000","8500")</f>
        <v>955174261</v>
      </c>
      <c r="D53" s="3">
        <f>[2]!BexGetData("DP_1","00O2TNJGODT0K39D8MCMQF0P0","8000","8500")</f>
        <v>66497000</v>
      </c>
      <c r="E53" s="3">
        <f>[2]!BexGetData("DP_1","00O2TNJGODT0K39D8MCMQF70K","8000","8500")</f>
        <v>367644903.60000002</v>
      </c>
      <c r="F53" s="3">
        <f>[2]!BexGetData("DP_1","00O2TNJGODT0K39D8MCMQFDC4","8000","8500")</f>
        <v>246974716.69999999</v>
      </c>
      <c r="G53" s="3">
        <f>[2]!BexGetData("DP_1","00O2TNJGODT0K39D8MCMQFJNO","8000","8500")</f>
        <v>274057640.69999999</v>
      </c>
      <c r="H53" s="2">
        <f>[2]!BexGetData("DP_1","00O2TNJGODT0K39D8MCMQGLL0","8000","8500")</f>
        <v>1070931543.74</v>
      </c>
      <c r="I53" s="2">
        <f>[2]!BexGetData("DP_1","00O2TNJGODT0K39D8MCMQHNIC","8000","8500")</f>
        <v>-947683051.35000002</v>
      </c>
      <c r="J53" s="2">
        <f>[2]!BexGetData("DP_1","00O2TNJGODT0K3B5ZBNSUNZD9","8000","8500")</f>
        <v>123248492.39</v>
      </c>
      <c r="K53" s="2">
        <f>[2]!BexGetData("DP_1","00O2TNJGODT0K39D8MCMQHTTW","8000","8500")</f>
        <v>1078422753.3900001</v>
      </c>
      <c r="L53" s="2">
        <f>[2]!BexGetData("DP_1","00O2TNJGODT0K39D8MCMQI05G","8000","8500")</f>
        <v>87662844.439999998</v>
      </c>
      <c r="M53" s="2">
        <f>[2]!BexGetData("DP_1","00O2TNJGODT0K39D8MCMQI6H0","8000","8500")</f>
        <v>367945769.97000003</v>
      </c>
      <c r="N53" s="2">
        <f>[2]!BexGetData("DP_1","00O2TNJGODT0K39D8MCMQICSK","8000","8500")</f>
        <v>319706420.98000002</v>
      </c>
      <c r="O53" s="2">
        <f>[2]!BexGetData("DP_1","00O2TNJGODT0K39D8MCMQIJ44","8000","8500")</f>
        <v>303107718</v>
      </c>
      <c r="P53" s="4" t="str">
        <f>[2]!BexGetData("DP_1","00O2TNJGODT0K39D8MCMQIVR8","8000","8500")</f>
        <v/>
      </c>
      <c r="Q53" s="2">
        <f>[2]!BexGetData("DP_1","00O2TNJGODT0K39D8MCMQJ22S","8000","8500")</f>
        <v>1078422753.3900001</v>
      </c>
      <c r="R53" s="2">
        <f>[2]!BexGetData("DP_1","00O2TNJGODT0K39D8MCMQJRD0","8000","8500")</f>
        <v>917278829.49000001</v>
      </c>
      <c r="S53" s="2">
        <f>[2]!BexGetData("DP_1","00O2TNJGODT0K39D8MCMQLIKK","8000","8500")</f>
        <v>-917278829.49000001</v>
      </c>
      <c r="T53" s="2">
        <f>[2]!BexGetData("DP_1","00O2TNJGODT0K39D8MCMQLOW4","8000","8500")</f>
        <v>161143923.90000001</v>
      </c>
      <c r="U53" s="2">
        <f>[2]!BexGetData("DP_1","00O2TNJGODT0K39D8MCMQJXOK","8000","8500")</f>
        <v>917278819.13</v>
      </c>
      <c r="V53" s="2">
        <f>[2]!BexGetData("DP_1","00O2TNJGODT0K39D8MCMQO5DW","8000","8500")</f>
        <v>122367007.44</v>
      </c>
      <c r="W53" s="2">
        <f>[2]!BexGetData("DP_1","00O2TNJGODT0K39D8MCMQP7B8","8000","8500")</f>
        <v>202805168.25</v>
      </c>
      <c r="X53" s="2">
        <f>[2]!BexGetData("DP_1","00O2TNJGODT0K39D8MCMQQ98K","8000","8500")</f>
        <v>225931981.47999999</v>
      </c>
      <c r="Y53" s="2">
        <f>[2]!BexGetData("DP_1","00O2TNJGODT0K39D8MCMQRB5W","8000","8500")</f>
        <v>366174661.95999998</v>
      </c>
      <c r="Z53" s="2">
        <f>[2]!BexGetData("DP_1","00O2TNJGODT0K39D8MCMQSD38","8000","8500")</f>
        <v>10.36</v>
      </c>
      <c r="AA53" s="2">
        <f>[2]!BexGetData("DP_1","00O2TNJGODT0K39D8MCMQSJES","8000","8500")</f>
        <v>161143934.25999999</v>
      </c>
      <c r="AB53" s="2">
        <f>[2]!BexGetData("DP_1","00O2TNJGODT0K39D8MCMQKABO","8000","8500")</f>
        <v>917278819.13</v>
      </c>
      <c r="AC53" s="2">
        <f>[2]!BexGetData("DP_1","00O2TNJGODT0K39D8MCMQOBPG","8000","8500")</f>
        <v>122367007.44</v>
      </c>
      <c r="AD53" s="2">
        <f>[2]!BexGetData("DP_1","00O2TNJGODT0K39D8MCMQPDMS","8000","8500")</f>
        <v>202805168.25</v>
      </c>
      <c r="AE53" s="2">
        <f>[2]!BexGetData("DP_1","00O2TNJGODT0K39D8MCMQQFK4","8000","8500")</f>
        <v>225931981.47999999</v>
      </c>
      <c r="AF53" s="2">
        <f>[2]!BexGetData("DP_1","00O2TNJGODT0K39D8MCMQRHHG","8000","8500")</f>
        <v>366174661.95999998</v>
      </c>
      <c r="AG53" s="5">
        <f>[2]!BexGetData("DP_1","00O2TNJGODT0K39D8MCMQSPQC","8000","8500")</f>
        <v>0</v>
      </c>
      <c r="AH53" s="2">
        <f>[2]!BexGetData("DP_1","00O2TNE7L9CBERF5UWFY00YGS","8000","8500")</f>
        <v>880232036.58000004</v>
      </c>
      <c r="AI53" s="2">
        <f>[2]!BexGetData("DP_1","00O2TNJGODT0K39D8MCMQOI10","8000","8500")</f>
        <v>101201163</v>
      </c>
      <c r="AJ53" s="2">
        <f>[2]!BexGetData("DP_1","00O2TNJGODT0K39D8MCMQPJYC","8000","8500")</f>
        <v>139243324.90000001</v>
      </c>
      <c r="AK53" s="2">
        <f>[2]!BexGetData("DP_1","00O2TNJGODT0K39D8MCMQQLVO","8000","8500")</f>
        <v>303043258.13</v>
      </c>
      <c r="AL53" s="2">
        <f>[2]!BexGetData("DP_1","00O2TNJGODT0K39D8MCMQRNT0","8000","8500")</f>
        <v>336744290.55000001</v>
      </c>
      <c r="AM53" s="2">
        <f>[2]!BexGetData("DP_1","00O2TNJGODT0K39D8MCMQSW1W","8000","8500")</f>
        <v>37046782.549999997</v>
      </c>
      <c r="AN53" s="2">
        <f>[2]!BexGetData("DP_1","00O2TNJGODT0K39D8MCMQT8P0","8000","8500")</f>
        <v>161143934.25999999</v>
      </c>
      <c r="AO53" s="2">
        <f>[2]!BexGetData("DP_1","00O2TNJGODT0K39D8MCMQUGXW","8000","8500")</f>
        <v>1078422753.3900001</v>
      </c>
      <c r="AP53" s="6">
        <f>[2]!BexGetData("DP_1","00O2TNJGODT0K39D8MCMQUN9G","8000","8500")</f>
        <v>0.96032614841367003</v>
      </c>
      <c r="AQ53" s="6">
        <f>[2]!BexGetData("DP_1","00O2TNJGODT0K39D8MCMQUZWK","8000","8500")</f>
        <v>0.96032614841367003</v>
      </c>
      <c r="AR53" s="2">
        <f>[2]!BexGetData("DP_1","00O2TNJGODT0K39D8MCMQWR44","8000","8500")</f>
        <v>1208223169.73</v>
      </c>
      <c r="AS53" s="16">
        <f>[2]!BexGetData("DP_1","00O2TNJGODT0K39D8MCMQXGEC","8000","8500")</f>
        <v>0.75919651444442005</v>
      </c>
      <c r="AT53" s="2">
        <f>[2]!BexGetData("DP_1","00O2TNJGODT0K39D8MCMQXMPW","8000","8500")</f>
        <v>-290944350.60000002</v>
      </c>
      <c r="AU53" s="5">
        <f>[2]!BexGetData("DP_1","00O2TNJGODT0K39D8MCMQXT1G","8000","8500")</f>
        <v>0</v>
      </c>
    </row>
    <row r="54" spans="1:47" x14ac:dyDescent="0.2">
      <c r="A54" s="1" t="s">
        <v>12</v>
      </c>
      <c r="B54" s="10" t="s">
        <v>88</v>
      </c>
      <c r="C54" s="11">
        <f>[2]!BexGetData("DP_1","00O2TNJGODT0K39D8MCMQEUDG","8000","SUMME")</f>
        <v>7291921181</v>
      </c>
      <c r="D54" s="12">
        <f>[2]!BexGetData("DP_1","00O2TNJGODT0K39D8MCMQF0P0","8000","SUMME")</f>
        <v>1671245180</v>
      </c>
      <c r="E54" s="12">
        <f>[2]!BexGetData("DP_1","00O2TNJGODT0K39D8MCMQF70K","8000","SUMME")</f>
        <v>1996693083.5999999</v>
      </c>
      <c r="F54" s="12">
        <f>[2]!BexGetData("DP_1","00O2TNJGODT0K39D8MCMQFDC4","8000","SUMME")</f>
        <v>1851722896.7</v>
      </c>
      <c r="G54" s="12">
        <f>[2]!BexGetData("DP_1","00O2TNJGODT0K39D8MCMQFJNO","8000","SUMME")</f>
        <v>1772260020.7</v>
      </c>
      <c r="H54" s="11">
        <f>[2]!BexGetData("DP_1","00O2TNJGODT0K39D8MCMQGLL0","8000","SUMME")</f>
        <v>2936976707.8200002</v>
      </c>
      <c r="I54" s="11">
        <f>[2]!BexGetData("DP_1","00O2TNJGODT0K39D8MCMQHNIC","8000","SUMME")</f>
        <v>-2252476235.73</v>
      </c>
      <c r="J54" s="11">
        <f>[2]!BexGetData("DP_1","00O2TNJGODT0K3B5ZBNSUNZD9","8000","SUMME")</f>
        <v>684500472.09000003</v>
      </c>
      <c r="K54" s="11">
        <f>[2]!BexGetData("DP_1","00O2TNJGODT0K39D8MCMQHTTW","8000","SUMME")</f>
        <v>7976421653.0900002</v>
      </c>
      <c r="L54" s="11">
        <f>[2]!BexGetData("DP_1","00O2TNJGODT0K39D8MCMQI05G","8000","SUMME")</f>
        <v>1726788774.9400001</v>
      </c>
      <c r="M54" s="11">
        <f>[2]!BexGetData("DP_1","00O2TNJGODT0K39D8MCMQI6H0","8000","SUMME")</f>
        <v>1952631698.77</v>
      </c>
      <c r="N54" s="11">
        <f>[2]!BexGetData("DP_1","00O2TNJGODT0K39D8MCMQICSK","8000","SUMME")</f>
        <v>2170233302</v>
      </c>
      <c r="O54" s="11">
        <f>[2]!BexGetData("DP_1","00O2TNJGODT0K39D8MCMQIJ44","8000","SUMME")</f>
        <v>2126767877.3800001</v>
      </c>
      <c r="P54" s="13" t="str">
        <f>[2]!BexGetData("DP_1","00O2TNJGODT0K39D8MCMQIVR8","8000","SUMME")</f>
        <v/>
      </c>
      <c r="Q54" s="11">
        <f>[2]!BexGetData("DP_1","00O2TNJGODT0K39D8MCMQJ22S","8000","SUMME")</f>
        <v>7976421653.0900002</v>
      </c>
      <c r="R54" s="11">
        <f>[2]!BexGetData("DP_1","00O2TNJGODT0K39D8MCMQJRD0","8000","SUMME")</f>
        <v>7813632658.3400002</v>
      </c>
      <c r="S54" s="11">
        <f>[2]!BexGetData("DP_1","00O2TNJGODT0K39D8MCMQLIKK","8000","SUMME")</f>
        <v>-7813632658.3400002</v>
      </c>
      <c r="T54" s="11">
        <f>[2]!BexGetData("DP_1","00O2TNJGODT0K39D8MCMQLOW4","8000","SUMME")</f>
        <v>162788994.75</v>
      </c>
      <c r="U54" s="11">
        <f>[2]!BexGetData("DP_1","00O2TNJGODT0K39D8MCMQJXOK","8000","SUMME")</f>
        <v>7813136193.7700005</v>
      </c>
      <c r="V54" s="11">
        <f>[2]!BexGetData("DP_1","00O2TNJGODT0K39D8MCMQO5DW","8000","SUMME")</f>
        <v>1843253745.9400001</v>
      </c>
      <c r="W54" s="11">
        <f>[2]!BexGetData("DP_1","00O2TNJGODT0K39D8MCMQP7B8","8000","SUMME")</f>
        <v>2021262075.4200001</v>
      </c>
      <c r="X54" s="11">
        <f>[2]!BexGetData("DP_1","00O2TNJGODT0K39D8MCMQQ98K","8000","SUMME")</f>
        <v>2067634278.7</v>
      </c>
      <c r="Y54" s="11">
        <f>[2]!BexGetData("DP_1","00O2TNJGODT0K39D8MCMQRB5W","8000","SUMME")</f>
        <v>1880986093.71</v>
      </c>
      <c r="Z54" s="11">
        <f>[2]!BexGetData("DP_1","00O2TNJGODT0K39D8MCMQSD38","8000","SUMME")</f>
        <v>496464.57</v>
      </c>
      <c r="AA54" s="11">
        <f>[2]!BexGetData("DP_1","00O2TNJGODT0K39D8MCMQSJES","8000","SUMME")</f>
        <v>163285459.31999999</v>
      </c>
      <c r="AB54" s="11">
        <f>[2]!BexGetData("DP_1","00O2TNJGODT0K39D8MCMQKABO","8000","SUMME")</f>
        <v>7813136193.7700005</v>
      </c>
      <c r="AC54" s="11">
        <f>[2]!BexGetData("DP_1","00O2TNJGODT0K39D8MCMQOBPG","8000","SUMME")</f>
        <v>1843253745.9400001</v>
      </c>
      <c r="AD54" s="11">
        <f>[2]!BexGetData("DP_1","00O2TNJGODT0K39D8MCMQPDMS","8000","SUMME")</f>
        <v>2021262075.4200001</v>
      </c>
      <c r="AE54" s="11">
        <f>[2]!BexGetData("DP_1","00O2TNJGODT0K39D8MCMQQFK4","8000","SUMME")</f>
        <v>2067634278.7</v>
      </c>
      <c r="AF54" s="11">
        <f>[2]!BexGetData("DP_1","00O2TNJGODT0K39D8MCMQRHHG","8000","SUMME")</f>
        <v>1880986093.71</v>
      </c>
      <c r="AG54" s="14">
        <f>[2]!BexGetData("DP_1","00O2TNJGODT0K39D8MCMQSPQC","8000","SUMME")</f>
        <v>0</v>
      </c>
      <c r="AH54" s="11">
        <f>[2]!BexGetData("DP_1","00O2TNE7L9CBERF5UWFY00YGS","8000","SUMME")</f>
        <v>7774933853.6599998</v>
      </c>
      <c r="AI54" s="11">
        <f>[2]!BexGetData("DP_1","00O2TNJGODT0K39D8MCMQOI10","8000","SUMME")</f>
        <v>1817295941.5999999</v>
      </c>
      <c r="AJ54" s="11">
        <f>[2]!BexGetData("DP_1","00O2TNJGODT0K39D8MCMQPJYC","8000","SUMME")</f>
        <v>1960043691.0699999</v>
      </c>
      <c r="AK54" s="11">
        <f>[2]!BexGetData("DP_1","00O2TNJGODT0K39D8MCMQQLVO","8000","SUMME")</f>
        <v>2147143790</v>
      </c>
      <c r="AL54" s="11">
        <f>[2]!BexGetData("DP_1","00O2TNJGODT0K39D8MCMQRNT0","8000","SUMME")</f>
        <v>1850450430.99</v>
      </c>
      <c r="AM54" s="11">
        <f>[2]!BexGetData("DP_1","00O2TNJGODT0K39D8MCMQSW1W","8000","SUMME")</f>
        <v>38202340.109999999</v>
      </c>
      <c r="AN54" s="11">
        <f>[2]!BexGetData("DP_1","00O2TNJGODT0K39D8MCMQT8P0","8000","SUMME")</f>
        <v>163285459.31999999</v>
      </c>
      <c r="AO54" s="11">
        <f>[2]!BexGetData("DP_1","00O2TNJGODT0K39D8MCMQUGXW","8000","SUMME")</f>
        <v>7976421653.0900002</v>
      </c>
      <c r="AP54" s="15">
        <f>[2]!BexGetData("DP_1","00O2TNJGODT0K39D8MCMQUN9G","8000","SUMME")</f>
        <v>1.0714784210954</v>
      </c>
      <c r="AQ54" s="15">
        <f>[2]!BexGetData("DP_1","00O2TNJGODT0K39D8MCMQUZWK","8000","SUMME")</f>
        <v>1.0714784210954</v>
      </c>
      <c r="AR54" s="11">
        <f>[2]!BexGetData("DP_1","00O2TNJGODT0K39D8MCMQWR44","8000","SUMME")</f>
        <v>7071305703.71</v>
      </c>
      <c r="AS54" s="17">
        <f>[2]!BexGetData("DP_1","00O2TNJGODT0K39D8MCMQXGEC","8000","SUMME")</f>
        <v>1.1049071446127401</v>
      </c>
      <c r="AT54" s="11">
        <f>[2]!BexGetData("DP_1","00O2TNJGODT0K39D8MCMQXMPW","8000","SUMME")</f>
        <v>741830490.05999994</v>
      </c>
      <c r="AU54" s="14">
        <f>[2]!BexGetData("DP_1","00O2TNJGODT0K39D8MCMQXT1G","8000","SUMME")</f>
        <v>0</v>
      </c>
    </row>
    <row r="55" spans="1:47" x14ac:dyDescent="0.2">
      <c r="A55" s="1" t="s">
        <v>19</v>
      </c>
      <c r="B55" s="1" t="s">
        <v>86</v>
      </c>
      <c r="C55" s="2">
        <f>[2]!BexGetData("DP_1","00O2TNJGODT0K39D8MCMQEUDG","9000","9100")</f>
        <v>1422672048.4400001</v>
      </c>
      <c r="D55" s="3">
        <f>[2]!BexGetData("DP_1","00O2TNJGODT0K39D8MCMQF0P0","9000","9100")</f>
        <v>382558108</v>
      </c>
      <c r="E55" s="3">
        <f>[2]!BexGetData("DP_1","00O2TNJGODT0K39D8MCMQF70K","9000","9100")</f>
        <v>384682402</v>
      </c>
      <c r="F55" s="3">
        <f>[2]!BexGetData("DP_1","00O2TNJGODT0K39D8MCMQFDC4","9000","9100")</f>
        <v>336961455.83999997</v>
      </c>
      <c r="G55" s="3">
        <f>[2]!BexGetData("DP_1","00O2TNJGODT0K39D8MCMQFJNO","9000","9100")</f>
        <v>318470082.60000002</v>
      </c>
      <c r="H55" s="2">
        <f>[2]!BexGetData("DP_1","00O2TNJGODT0K39D8MCMQGLL0","9000","9100")</f>
        <v>5519325042.2399998</v>
      </c>
      <c r="I55" s="2">
        <f>[2]!BexGetData("DP_1","00O2TNJGODT0K39D8MCMQHNIC","9000","9100")</f>
        <v>-2018681559.24</v>
      </c>
      <c r="J55" s="2">
        <f>[2]!BexGetData("DP_1","00O2TNJGODT0K3B5ZBNSUNZD9","9000","9100")</f>
        <v>3500643483</v>
      </c>
      <c r="K55" s="2">
        <f>[2]!BexGetData("DP_1","00O2TNJGODT0K39D8MCMQHTTW","9000","9100")</f>
        <v>4923315531.4399996</v>
      </c>
      <c r="L55" s="2">
        <f>[2]!BexGetData("DP_1","00O2TNJGODT0K39D8MCMQI05G","9000","9100")</f>
        <v>2034482956.2</v>
      </c>
      <c r="M55" s="2">
        <f>[2]!BexGetData("DP_1","00O2TNJGODT0K39D8MCMQI6H0","9000","9100")</f>
        <v>744320669.73000002</v>
      </c>
      <c r="N55" s="2">
        <f>[2]!BexGetData("DP_1","00O2TNJGODT0K39D8MCMQICSK","9000","9100")</f>
        <v>1000264996.36</v>
      </c>
      <c r="O55" s="2">
        <f>[2]!BexGetData("DP_1","00O2TNJGODT0K39D8MCMQIJ44","9000","9100")</f>
        <v>1144246909.1500001</v>
      </c>
      <c r="P55" s="4" t="str">
        <f>[2]!BexGetData("DP_1","00O2TNJGODT0K39D8MCMQIVR8","9000","9100")</f>
        <v/>
      </c>
      <c r="Q55" s="2">
        <f>[2]!BexGetData("DP_1","00O2TNJGODT0K39D8MCMQJ22S","9000","9100")</f>
        <v>4923315531.4399996</v>
      </c>
      <c r="R55" s="2">
        <f>[2]!BexGetData("DP_1","00O2TNJGODT0K39D8MCMQJRD0","9000","9100")</f>
        <v>4832406441.4399996</v>
      </c>
      <c r="S55" s="2">
        <f>[2]!BexGetData("DP_1","00O2TNJGODT0K39D8MCMQLIKK","9000","9100")</f>
        <v>-4832406441.4399996</v>
      </c>
      <c r="T55" s="2">
        <f>[2]!BexGetData("DP_1","00O2TNJGODT0K39D8MCMQLOW4","9000","9100")</f>
        <v>90909090</v>
      </c>
      <c r="U55" s="2">
        <f>[2]!BexGetData("DP_1","00O2TNJGODT0K39D8MCMQJXOK","9000","9100")</f>
        <v>4832406441.4399996</v>
      </c>
      <c r="V55" s="2">
        <f>[2]!BexGetData("DP_1","00O2TNJGODT0K39D8MCMQO5DW","9000","9100")</f>
        <v>2350216571.1700001</v>
      </c>
      <c r="W55" s="2">
        <f>[2]!BexGetData("DP_1","00O2TNJGODT0K39D8MCMQP7B8","9000","9100")</f>
        <v>792988901.12</v>
      </c>
      <c r="X55" s="2">
        <f>[2]!BexGetData("DP_1","00O2TNJGODT0K39D8MCMQQ98K","9000","9100")</f>
        <v>858822904.61000001</v>
      </c>
      <c r="Y55" s="2">
        <f>[2]!BexGetData("DP_1","00O2TNJGODT0K39D8MCMQRB5W","9000","9100")</f>
        <v>830378064.53999996</v>
      </c>
      <c r="Z55" s="5">
        <f>[2]!BexGetData("DP_1","00O2TNJGODT0K39D8MCMQSD38","9000","9100")</f>
        <v>0</v>
      </c>
      <c r="AA55" s="2">
        <f>[2]!BexGetData("DP_1","00O2TNJGODT0K39D8MCMQSJES","9000","9100")</f>
        <v>90909090</v>
      </c>
      <c r="AB55" s="2">
        <f>[2]!BexGetData("DP_1","00O2TNJGODT0K39D8MCMQKABO","9000","9100")</f>
        <v>4832406441.4399996</v>
      </c>
      <c r="AC55" s="2">
        <f>[2]!BexGetData("DP_1","00O2TNJGODT0K39D8MCMQOBPG","9000","9100")</f>
        <v>2350216571.1700001</v>
      </c>
      <c r="AD55" s="2">
        <f>[2]!BexGetData("DP_1","00O2TNJGODT0K39D8MCMQPDMS","9000","9100")</f>
        <v>792988901.12</v>
      </c>
      <c r="AE55" s="2">
        <f>[2]!BexGetData("DP_1","00O2TNJGODT0K39D8MCMQQFK4","9000","9100")</f>
        <v>858822904.61000001</v>
      </c>
      <c r="AF55" s="2">
        <f>[2]!BexGetData("DP_1","00O2TNJGODT0K39D8MCMQRHHG","9000","9100")</f>
        <v>830378064.53999996</v>
      </c>
      <c r="AG55" s="5">
        <f>[2]!BexGetData("DP_1","00O2TNJGODT0K39D8MCMQSPQC","9000","9100")</f>
        <v>0</v>
      </c>
      <c r="AH55" s="2">
        <f>[2]!BexGetData("DP_1","00O2TNE7L9CBERF5UWFY00YGS","9000","9100")</f>
        <v>4832406441.4399996</v>
      </c>
      <c r="AI55" s="2">
        <f>[2]!BexGetData("DP_1","00O2TNJGODT0K39D8MCMQOI10","9000","9100")</f>
        <v>2350216571.1700001</v>
      </c>
      <c r="AJ55" s="2">
        <f>[2]!BexGetData("DP_1","00O2TNJGODT0K39D8MCMQPJYC","9000","9100")</f>
        <v>792988901.12</v>
      </c>
      <c r="AK55" s="2">
        <f>[2]!BexGetData("DP_1","00O2TNJGODT0K39D8MCMQQLVO","9000","9100")</f>
        <v>858822904.61000001</v>
      </c>
      <c r="AL55" s="2">
        <f>[2]!BexGetData("DP_1","00O2TNJGODT0K39D8MCMQRNT0","9000","9100")</f>
        <v>830378064.53999996</v>
      </c>
      <c r="AM55" s="5">
        <f>[2]!BexGetData("DP_1","00O2TNJGODT0K39D8MCMQSW1W","9000","9100")</f>
        <v>0</v>
      </c>
      <c r="AN55" s="2">
        <f>[2]!BexGetData("DP_1","00O2TNJGODT0K39D8MCMQT8P0","9000","9100")</f>
        <v>90909090</v>
      </c>
      <c r="AO55" s="2">
        <f>[2]!BexGetData("DP_1","00O2TNJGODT0K39D8MCMQUGXW","9000","9100")</f>
        <v>4923315531.4399996</v>
      </c>
      <c r="AP55" s="6">
        <f>[2]!BexGetData("DP_1","00O2TNJGODT0K39D8MCMQUN9G","9000","9100")</f>
        <v>3.3967114534504801</v>
      </c>
      <c r="AQ55" s="6">
        <f>[2]!BexGetData("DP_1","00O2TNJGODT0K39D8MCMQUZWK","9000","9100")</f>
        <v>3.3967114534504801</v>
      </c>
      <c r="AR55" s="2">
        <f>[2]!BexGetData("DP_1","00O2TNJGODT0K39D8MCMQWR44","9000","9100")</f>
        <v>6789591701.71</v>
      </c>
      <c r="AS55" s="16">
        <f>[2]!BexGetData("DP_1","00O2TNJGODT0K39D8MCMQXGEC","9000","9100")</f>
        <v>0.71173741422814996</v>
      </c>
      <c r="AT55" s="2">
        <f>[2]!BexGetData("DP_1","00O2TNJGODT0K39D8MCMQXMPW","9000","9100")</f>
        <v>-1957185260.27</v>
      </c>
      <c r="AU55" s="5">
        <f>[2]!BexGetData("DP_1","00O2TNJGODT0K39D8MCMQXT1G","9000","9100")</f>
        <v>0</v>
      </c>
    </row>
    <row r="56" spans="1:47" x14ac:dyDescent="0.2">
      <c r="A56" s="1" t="s">
        <v>12</v>
      </c>
      <c r="B56" s="1" t="s">
        <v>118</v>
      </c>
      <c r="C56" s="2">
        <f>[2]!BexGetData("DP_1","00O2TNJGODT0K39D8MCMQEUDG","9000","9200")</f>
        <v>1270746316.6400001</v>
      </c>
      <c r="D56" s="3">
        <f>[2]!BexGetData("DP_1","00O2TNJGODT0K39D8MCMQF0P0","9000","9200")</f>
        <v>408569875.14999998</v>
      </c>
      <c r="E56" s="3">
        <f>[2]!BexGetData("DP_1","00O2TNJGODT0K39D8MCMQF70K","9000","9200")</f>
        <v>382908858.32999998</v>
      </c>
      <c r="F56" s="3">
        <f>[2]!BexGetData("DP_1","00O2TNJGODT0K39D8MCMQFDC4","9000","9200")</f>
        <v>225256502.83000001</v>
      </c>
      <c r="G56" s="3">
        <f>[2]!BexGetData("DP_1","00O2TNJGODT0K39D8MCMQFJNO","9000","9200")</f>
        <v>254011080.33000001</v>
      </c>
      <c r="H56" s="2">
        <f>[2]!BexGetData("DP_1","00O2TNJGODT0K39D8MCMQGLL0","9000","9200")</f>
        <v>1358579158.1500001</v>
      </c>
      <c r="I56" s="2">
        <f>[2]!BexGetData("DP_1","00O2TNJGODT0K39D8MCMQHNIC","9000","9200")</f>
        <v>-811061008.30999994</v>
      </c>
      <c r="J56" s="2">
        <f>[2]!BexGetData("DP_1","00O2TNJGODT0K3B5ZBNSUNZD9","9000","9200")</f>
        <v>547518149.84000003</v>
      </c>
      <c r="K56" s="2">
        <f>[2]!BexGetData("DP_1","00O2TNJGODT0K39D8MCMQHTTW","9000","9200")</f>
        <v>1818264466.48</v>
      </c>
      <c r="L56" s="2">
        <f>[2]!BexGetData("DP_1","00O2TNJGODT0K39D8MCMQI05G","9000","9200")</f>
        <v>139808738.59999999</v>
      </c>
      <c r="M56" s="2">
        <f>[2]!BexGetData("DP_1","00O2TNJGODT0K39D8MCMQI6H0","9000","9200")</f>
        <v>262427995.27000001</v>
      </c>
      <c r="N56" s="2">
        <f>[2]!BexGetData("DP_1","00O2TNJGODT0K39D8MCMQICSK","9000","9200")</f>
        <v>700535630.49000001</v>
      </c>
      <c r="O56" s="2">
        <f>[2]!BexGetData("DP_1","00O2TNJGODT0K39D8MCMQIJ44","9000","9200")</f>
        <v>715492102.12</v>
      </c>
      <c r="P56" s="4" t="str">
        <f>[2]!BexGetData("DP_1","00O2TNJGODT0K39D8MCMQIVR8","9000","9200")</f>
        <v/>
      </c>
      <c r="Q56" s="2">
        <f>[2]!BexGetData("DP_1","00O2TNJGODT0K39D8MCMQJ22S","9000","9200")</f>
        <v>1818264466.48</v>
      </c>
      <c r="R56" s="2">
        <f>[2]!BexGetData("DP_1","00O2TNJGODT0K39D8MCMQJRD0","9000","9200")</f>
        <v>1818264466.48</v>
      </c>
      <c r="S56" s="2">
        <f>[2]!BexGetData("DP_1","00O2TNJGODT0K39D8MCMQLIKK","9000","9200")</f>
        <v>-1818264466.48</v>
      </c>
      <c r="T56" s="5">
        <f>[2]!BexGetData("DP_1","00O2TNJGODT0K39D8MCMQLOW4","9000","9200")</f>
        <v>0</v>
      </c>
      <c r="U56" s="2">
        <f>[2]!BexGetData("DP_1","00O2TNJGODT0K39D8MCMQJXOK","9000","9200")</f>
        <v>1818264466.48</v>
      </c>
      <c r="V56" s="2">
        <f>[2]!BexGetData("DP_1","00O2TNJGODT0K39D8MCMQO5DW","9000","9200")</f>
        <v>421127271.13</v>
      </c>
      <c r="W56" s="2">
        <f>[2]!BexGetData("DP_1","00O2TNJGODT0K39D8MCMQP7B8","9000","9200")</f>
        <v>450668052.29000002</v>
      </c>
      <c r="X56" s="2">
        <f>[2]!BexGetData("DP_1","00O2TNJGODT0K39D8MCMQQ98K","9000","9200")</f>
        <v>465195683.07999998</v>
      </c>
      <c r="Y56" s="2">
        <f>[2]!BexGetData("DP_1","00O2TNJGODT0K39D8MCMQRB5W","9000","9200")</f>
        <v>481273459.98000002</v>
      </c>
      <c r="Z56" s="5">
        <f>[2]!BexGetData("DP_1","00O2TNJGODT0K39D8MCMQSD38","9000","9200")</f>
        <v>0</v>
      </c>
      <c r="AA56" s="5">
        <f>[2]!BexGetData("DP_1","00O2TNJGODT0K39D8MCMQSJES","9000","9200")</f>
        <v>0</v>
      </c>
      <c r="AB56" s="2">
        <f>[2]!BexGetData("DP_1","00O2TNJGODT0K39D8MCMQKABO","9000","9200")</f>
        <v>1818264466.48</v>
      </c>
      <c r="AC56" s="2">
        <f>[2]!BexGetData("DP_1","00O2TNJGODT0K39D8MCMQOBPG","9000","9200")</f>
        <v>421127271.13</v>
      </c>
      <c r="AD56" s="2">
        <f>[2]!BexGetData("DP_1","00O2TNJGODT0K39D8MCMQPDMS","9000","9200")</f>
        <v>450668052.29000002</v>
      </c>
      <c r="AE56" s="2">
        <f>[2]!BexGetData("DP_1","00O2TNJGODT0K39D8MCMQQFK4","9000","9200")</f>
        <v>465195683.07999998</v>
      </c>
      <c r="AF56" s="2">
        <f>[2]!BexGetData("DP_1","00O2TNJGODT0K39D8MCMQRHHG","9000","9200")</f>
        <v>481273459.98000002</v>
      </c>
      <c r="AG56" s="5">
        <f>[2]!BexGetData("DP_1","00O2TNJGODT0K39D8MCMQSPQC","9000","9200")</f>
        <v>0</v>
      </c>
      <c r="AH56" s="2">
        <f>[2]!BexGetData("DP_1","00O2TNE7L9CBERF5UWFY00YGS","9000","9200")</f>
        <v>1818264466.48</v>
      </c>
      <c r="AI56" s="2">
        <f>[2]!BexGetData("DP_1","00O2TNJGODT0K39D8MCMQOI10","9000","9200")</f>
        <v>421127271.13</v>
      </c>
      <c r="AJ56" s="2">
        <f>[2]!BexGetData("DP_1","00O2TNJGODT0K39D8MCMQPJYC","9000","9200")</f>
        <v>450668052.29000002</v>
      </c>
      <c r="AK56" s="2">
        <f>[2]!BexGetData("DP_1","00O2TNJGODT0K39D8MCMQQLVO","9000","9200")</f>
        <v>465195683.07999998</v>
      </c>
      <c r="AL56" s="2">
        <f>[2]!BexGetData("DP_1","00O2TNJGODT0K39D8MCMQRNT0","9000","9200")</f>
        <v>481273459.98000002</v>
      </c>
      <c r="AM56" s="5">
        <f>[2]!BexGetData("DP_1","00O2TNJGODT0K39D8MCMQSW1W","9000","9200")</f>
        <v>0</v>
      </c>
      <c r="AN56" s="5">
        <f>[2]!BexGetData("DP_1","00O2TNJGODT0K39D8MCMQT8P0","9000","9200")</f>
        <v>0</v>
      </c>
      <c r="AO56" s="2">
        <f>[2]!BexGetData("DP_1","00O2TNJGODT0K39D8MCMQUGXW","9000","9200")</f>
        <v>1818264466.48</v>
      </c>
      <c r="AP56" s="6">
        <f>[2]!BexGetData("DP_1","00O2TNJGODT0K39D8MCMQUN9G","9000","9200")</f>
        <v>1.43086345612057</v>
      </c>
      <c r="AQ56" s="6">
        <f>[2]!BexGetData("DP_1","00O2TNJGODT0K39D8MCMQUZWK","9000","9200")</f>
        <v>1.43086345612057</v>
      </c>
      <c r="AR56" s="2">
        <f>[2]!BexGetData("DP_1","00O2TNJGODT0K39D8MCMQWR44","9000","9200")</f>
        <v>1009918685.09</v>
      </c>
      <c r="AS56" s="16">
        <f>[2]!BexGetData("DP_1","00O2TNJGODT0K39D8MCMQXGEC","9000","9200")</f>
        <v>1.8004067984126499</v>
      </c>
      <c r="AT56" s="2">
        <f>[2]!BexGetData("DP_1","00O2TNJGODT0K39D8MCMQXMPW","9000","9200")</f>
        <v>808345781.38999999</v>
      </c>
      <c r="AU56" s="5">
        <f>[2]!BexGetData("DP_1","00O2TNJGODT0K39D8MCMQXT1G","9000","9200")</f>
        <v>0</v>
      </c>
    </row>
    <row r="57" spans="1:47" x14ac:dyDescent="0.2">
      <c r="A57" s="1" t="s">
        <v>12</v>
      </c>
      <c r="B57" s="1" t="s">
        <v>119</v>
      </c>
      <c r="C57" s="2">
        <f>[2]!BexGetData("DP_1","00O2TNJGODT0K39D8MCMQEUDG","9000","9300")</f>
        <v>54610887.850000001</v>
      </c>
      <c r="D57" s="3">
        <f>[2]!BexGetData("DP_1","00O2TNJGODT0K39D8MCMQF0P0","9000","9300")</f>
        <v>54610887.850000001</v>
      </c>
      <c r="E57" s="4" t="str">
        <f>[2]!BexGetData("DP_1","00O2TNJGODT0K39D8MCMQF70K","9000","9300")</f>
        <v/>
      </c>
      <c r="F57" s="4" t="str">
        <f>[2]!BexGetData("DP_1","00O2TNJGODT0K39D8MCMQFDC4","9000","9300")</f>
        <v/>
      </c>
      <c r="G57" s="4" t="str">
        <f>[2]!BexGetData("DP_1","00O2TNJGODT0K39D8MCMQFJNO","9000","9300")</f>
        <v/>
      </c>
      <c r="H57" s="2">
        <f>[2]!BexGetData("DP_1","00O2TNJGODT0K39D8MCMQGLL0","9000","9300")</f>
        <v>5595000</v>
      </c>
      <c r="I57" s="2">
        <f>[2]!BexGetData("DP_1","00O2TNJGODT0K39D8MCMQHNIC","9000","9300")</f>
        <v>-58378887.850000001</v>
      </c>
      <c r="J57" s="2">
        <f>[2]!BexGetData("DP_1","00O2TNJGODT0K3B5ZBNSUNZD9","9000","9300")</f>
        <v>-52783887.850000001</v>
      </c>
      <c r="K57" s="2">
        <f>[2]!BexGetData("DP_1","00O2TNJGODT0K39D8MCMQHTTW","9000","9300")</f>
        <v>1827000</v>
      </c>
      <c r="L57" s="2">
        <f>[2]!BexGetData("DP_1","00O2TNJGODT0K39D8MCMQI05G","9000","9300")</f>
        <v>17511785.120000001</v>
      </c>
      <c r="M57" s="2">
        <f>[2]!BexGetData("DP_1","00O2TNJGODT0K39D8MCMQI6H0","9000","9300")</f>
        <v>-17511785.120000001</v>
      </c>
      <c r="N57" s="2">
        <f>[2]!BexGetData("DP_1","00O2TNJGODT0K39D8MCMQICSK","9000","9300")</f>
        <v>1305000</v>
      </c>
      <c r="O57" s="2">
        <f>[2]!BexGetData("DP_1","00O2TNJGODT0K39D8MCMQIJ44","9000","9300")</f>
        <v>522000</v>
      </c>
      <c r="P57" s="4" t="str">
        <f>[2]!BexGetData("DP_1","00O2TNJGODT0K39D8MCMQIVR8","9000","9300")</f>
        <v/>
      </c>
      <c r="Q57" s="2">
        <f>[2]!BexGetData("DP_1","00O2TNJGODT0K39D8MCMQJ22S","9000","9300")</f>
        <v>1827000</v>
      </c>
      <c r="R57" s="2">
        <f>[2]!BexGetData("DP_1","00O2TNJGODT0K39D8MCMQJRD0","9000","9300")</f>
        <v>1827000</v>
      </c>
      <c r="S57" s="2">
        <f>[2]!BexGetData("DP_1","00O2TNJGODT0K39D8MCMQLIKK","9000","9300")</f>
        <v>-1827000</v>
      </c>
      <c r="T57" s="5">
        <f>[2]!BexGetData("DP_1","00O2TNJGODT0K39D8MCMQLOW4","9000","9300")</f>
        <v>0</v>
      </c>
      <c r="U57" s="2">
        <f>[2]!BexGetData("DP_1","00O2TNJGODT0K39D8MCMQJXOK","9000","9300")</f>
        <v>1827000</v>
      </c>
      <c r="V57" s="5">
        <f>[2]!BexGetData("DP_1","00O2TNJGODT0K39D8MCMQO5DW","9000","9300")</f>
        <v>0</v>
      </c>
      <c r="W57" s="5">
        <f>[2]!BexGetData("DP_1","00O2TNJGODT0K39D8MCMQP7B8","9000","9300")</f>
        <v>0</v>
      </c>
      <c r="X57" s="2">
        <f>[2]!BexGetData("DP_1","00O2TNJGODT0K39D8MCMQQ98K","9000","9300")</f>
        <v>1305000</v>
      </c>
      <c r="Y57" s="2">
        <f>[2]!BexGetData("DP_1","00O2TNJGODT0K39D8MCMQRB5W","9000","9300")</f>
        <v>522000</v>
      </c>
      <c r="Z57" s="5">
        <f>[2]!BexGetData("DP_1","00O2TNJGODT0K39D8MCMQSD38","9000","9300")</f>
        <v>0</v>
      </c>
      <c r="AA57" s="5">
        <f>[2]!BexGetData("DP_1","00O2TNJGODT0K39D8MCMQSJES","9000","9300")</f>
        <v>0</v>
      </c>
      <c r="AB57" s="2">
        <f>[2]!BexGetData("DP_1","00O2TNJGODT0K39D8MCMQKABO","9000","9300")</f>
        <v>1827000</v>
      </c>
      <c r="AC57" s="5">
        <f>[2]!BexGetData("DP_1","00O2TNJGODT0K39D8MCMQOBPG","9000","9300")</f>
        <v>0</v>
      </c>
      <c r="AD57" s="5">
        <f>[2]!BexGetData("DP_1","00O2TNJGODT0K39D8MCMQPDMS","9000","9300")</f>
        <v>0</v>
      </c>
      <c r="AE57" s="2">
        <f>[2]!BexGetData("DP_1","00O2TNJGODT0K39D8MCMQQFK4","9000","9300")</f>
        <v>1305000</v>
      </c>
      <c r="AF57" s="2">
        <f>[2]!BexGetData("DP_1","00O2TNJGODT0K39D8MCMQRHHG","9000","9300")</f>
        <v>522000</v>
      </c>
      <c r="AG57" s="5">
        <f>[2]!BexGetData("DP_1","00O2TNJGODT0K39D8MCMQSPQC","9000","9300")</f>
        <v>0</v>
      </c>
      <c r="AH57" s="2">
        <f>[2]!BexGetData("DP_1","00O2TNE7L9CBERF5UWFY00YGS","9000","9300")</f>
        <v>1827000</v>
      </c>
      <c r="AI57" s="5">
        <f>[2]!BexGetData("DP_1","00O2TNJGODT0K39D8MCMQOI10","9000","9300")</f>
        <v>0</v>
      </c>
      <c r="AJ57" s="5">
        <f>[2]!BexGetData("DP_1","00O2TNJGODT0K39D8MCMQPJYC","9000","9300")</f>
        <v>0</v>
      </c>
      <c r="AK57" s="2">
        <f>[2]!BexGetData("DP_1","00O2TNJGODT0K39D8MCMQQLVO","9000","9300")</f>
        <v>1305000</v>
      </c>
      <c r="AL57" s="2">
        <f>[2]!BexGetData("DP_1","00O2TNJGODT0K39D8MCMQRNT0","9000","9300")</f>
        <v>522000</v>
      </c>
      <c r="AM57" s="5">
        <f>[2]!BexGetData("DP_1","00O2TNJGODT0K39D8MCMQSW1W","9000","9300")</f>
        <v>0</v>
      </c>
      <c r="AN57" s="5">
        <f>[2]!BexGetData("DP_1","00O2TNJGODT0K39D8MCMQT8P0","9000","9300")</f>
        <v>0</v>
      </c>
      <c r="AO57" s="2">
        <f>[2]!BexGetData("DP_1","00O2TNJGODT0K39D8MCMQUGXW","9000","9300")</f>
        <v>1827000</v>
      </c>
      <c r="AP57" s="6">
        <f>[2]!BexGetData("DP_1","00O2TNJGODT0K39D8MCMQUN9G","9000","9300")</f>
        <v>3.3454867187259998E-2</v>
      </c>
      <c r="AQ57" s="6">
        <f>[2]!BexGetData("DP_1","00O2TNJGODT0K39D8MCMQUZWK","9000","9300")</f>
        <v>3.3454867187259998E-2</v>
      </c>
      <c r="AR57" s="2">
        <f>[2]!BexGetData("DP_1","00O2TNJGODT0K39D8MCMQWR44","9000","9300")</f>
        <v>43552803.729999997</v>
      </c>
      <c r="AS57" s="16">
        <f>[2]!BexGetData("DP_1","00O2TNJGODT0K39D8MCMQXGEC","9000","9300")</f>
        <v>4.194907890032E-2</v>
      </c>
      <c r="AT57" s="2">
        <f>[2]!BexGetData("DP_1","00O2TNJGODT0K39D8MCMQXMPW","9000","9300")</f>
        <v>-41725803.729999997</v>
      </c>
      <c r="AU57" s="5">
        <f>[2]!BexGetData("DP_1","00O2TNJGODT0K39D8MCMQXT1G","9000","9300")</f>
        <v>0</v>
      </c>
    </row>
    <row r="58" spans="1:47" x14ac:dyDescent="0.2">
      <c r="A58" s="1" t="s">
        <v>12</v>
      </c>
      <c r="B58" s="1" t="s">
        <v>120</v>
      </c>
      <c r="C58" s="4" t="str">
        <f>[2]!BexGetData("DP_1","00O2TNJGODT0K39D8MCMQEUDG","9000","9400")</f>
        <v/>
      </c>
      <c r="D58" s="4" t="str">
        <f>[2]!BexGetData("DP_1","00O2TNJGODT0K39D8MCMQF0P0","9000","9400")</f>
        <v/>
      </c>
      <c r="E58" s="4" t="str">
        <f>[2]!BexGetData("DP_1","00O2TNJGODT0K39D8MCMQF70K","9000","9400")</f>
        <v/>
      </c>
      <c r="F58" s="4" t="str">
        <f>[2]!BexGetData("DP_1","00O2TNJGODT0K39D8MCMQFDC4","9000","9400")</f>
        <v/>
      </c>
      <c r="G58" s="4" t="str">
        <f>[2]!BexGetData("DP_1","00O2TNJGODT0K39D8MCMQFJNO","9000","9400")</f>
        <v/>
      </c>
      <c r="H58" s="2">
        <f>[2]!BexGetData("DP_1","00O2TNJGODT0K39D8MCMQGLL0","9000","9400")</f>
        <v>127687116.92</v>
      </c>
      <c r="I58" s="2">
        <f>[2]!BexGetData("DP_1","00O2TNJGODT0K39D8MCMQHNIC","9000","9400")</f>
        <v>-21934301.379999999</v>
      </c>
      <c r="J58" s="2">
        <f>[2]!BexGetData("DP_1","00O2TNJGODT0K3B5ZBNSUNZD9","9000","9400")</f>
        <v>105752815.54000001</v>
      </c>
      <c r="K58" s="2">
        <f>[2]!BexGetData("DP_1","00O2TNJGODT0K39D8MCMQHTTW","9000","9400")</f>
        <v>105752815.54000001</v>
      </c>
      <c r="L58" s="2">
        <f>[2]!BexGetData("DP_1","00O2TNJGODT0K39D8MCMQI05G","9000","9400")</f>
        <v>7588824.6500000004</v>
      </c>
      <c r="M58" s="2">
        <f>[2]!BexGetData("DP_1","00O2TNJGODT0K39D8MCMQI6H0","9000","9400")</f>
        <v>10328466.6</v>
      </c>
      <c r="N58" s="2">
        <f>[2]!BexGetData("DP_1","00O2TNJGODT0K39D8MCMQICSK","9000","9400")</f>
        <v>4320112.01</v>
      </c>
      <c r="O58" s="2">
        <f>[2]!BexGetData("DP_1","00O2TNJGODT0K39D8MCMQIJ44","9000","9400")</f>
        <v>83515412.280000001</v>
      </c>
      <c r="P58" s="4" t="str">
        <f>[2]!BexGetData("DP_1","00O2TNJGODT0K39D8MCMQIVR8","9000","9400")</f>
        <v/>
      </c>
      <c r="Q58" s="2">
        <f>[2]!BexGetData("DP_1","00O2TNJGODT0K39D8MCMQJ22S","9000","9400")</f>
        <v>105752815.54000001</v>
      </c>
      <c r="R58" s="2">
        <f>[2]!BexGetData("DP_1","00O2TNJGODT0K39D8MCMQJRD0","9000","9400")</f>
        <v>105752815.54000001</v>
      </c>
      <c r="S58" s="2">
        <f>[2]!BexGetData("DP_1","00O2TNJGODT0K39D8MCMQLIKK","9000","9400")</f>
        <v>-105752815.54000001</v>
      </c>
      <c r="T58" s="5">
        <f>[2]!BexGetData("DP_1","00O2TNJGODT0K39D8MCMQLOW4","9000","9400")</f>
        <v>0</v>
      </c>
      <c r="U58" s="2">
        <f>[2]!BexGetData("DP_1","00O2TNJGODT0K39D8MCMQJXOK","9000","9400")</f>
        <v>105752815.54000001</v>
      </c>
      <c r="V58" s="2">
        <f>[2]!BexGetData("DP_1","00O2TNJGODT0K39D8MCMQO5DW","9000","9400")</f>
        <v>5926635.5300000003</v>
      </c>
      <c r="W58" s="2">
        <f>[2]!BexGetData("DP_1","00O2TNJGODT0K39D8MCMQP7B8","9000","9400")</f>
        <v>9003828.5999999996</v>
      </c>
      <c r="X58" s="2">
        <f>[2]!BexGetData("DP_1","00O2TNJGODT0K39D8MCMQQ98K","9000","9400")</f>
        <v>5025771.42</v>
      </c>
      <c r="Y58" s="2">
        <f>[2]!BexGetData("DP_1","00O2TNJGODT0K39D8MCMQRB5W","9000","9400")</f>
        <v>85796579.989999995</v>
      </c>
      <c r="Z58" s="5">
        <f>[2]!BexGetData("DP_1","00O2TNJGODT0K39D8MCMQSD38","9000","9400")</f>
        <v>0</v>
      </c>
      <c r="AA58" s="5">
        <f>[2]!BexGetData("DP_1","00O2TNJGODT0K39D8MCMQSJES","9000","9400")</f>
        <v>0</v>
      </c>
      <c r="AB58" s="2">
        <f>[2]!BexGetData("DP_1","00O2TNJGODT0K39D8MCMQKABO","9000","9400")</f>
        <v>105752815.54000001</v>
      </c>
      <c r="AC58" s="2">
        <f>[2]!BexGetData("DP_1","00O2TNJGODT0K39D8MCMQOBPG","9000","9400")</f>
        <v>5926635.5300000003</v>
      </c>
      <c r="AD58" s="2">
        <f>[2]!BexGetData("DP_1","00O2TNJGODT0K39D8MCMQPDMS","9000","9400")</f>
        <v>9003828.5999999996</v>
      </c>
      <c r="AE58" s="2">
        <f>[2]!BexGetData("DP_1","00O2TNJGODT0K39D8MCMQQFK4","9000","9400")</f>
        <v>5025771.42</v>
      </c>
      <c r="AF58" s="2">
        <f>[2]!BexGetData("DP_1","00O2TNJGODT0K39D8MCMQRHHG","9000","9400")</f>
        <v>85796579.989999995</v>
      </c>
      <c r="AG58" s="5">
        <f>[2]!BexGetData("DP_1","00O2TNJGODT0K39D8MCMQSPQC","9000","9400")</f>
        <v>0</v>
      </c>
      <c r="AH58" s="2">
        <f>[2]!BexGetData("DP_1","00O2TNE7L9CBERF5UWFY00YGS","9000","9400")</f>
        <v>91034867.030000001</v>
      </c>
      <c r="AI58" s="2">
        <f>[2]!BexGetData("DP_1","00O2TNJGODT0K39D8MCMQOI10","9000","9400")</f>
        <v>4998635.53</v>
      </c>
      <c r="AJ58" s="2">
        <f>[2]!BexGetData("DP_1","00O2TNJGODT0K39D8MCMQPJYC","9000","9400")</f>
        <v>9255921.1999999993</v>
      </c>
      <c r="AK58" s="2">
        <f>[2]!BexGetData("DP_1","00O2TNJGODT0K39D8MCMQQLVO","9000","9400")</f>
        <v>4148997.91</v>
      </c>
      <c r="AL58" s="2">
        <f>[2]!BexGetData("DP_1","00O2TNJGODT0K39D8MCMQRNT0","9000","9400")</f>
        <v>72631312.390000001</v>
      </c>
      <c r="AM58" s="2">
        <f>[2]!BexGetData("DP_1","00O2TNJGODT0K39D8MCMQSW1W","9000","9400")</f>
        <v>14717948.51</v>
      </c>
      <c r="AN58" s="5">
        <f>[2]!BexGetData("DP_1","00O2TNJGODT0K39D8MCMQT8P0","9000","9400")</f>
        <v>0</v>
      </c>
      <c r="AO58" s="2">
        <f>[2]!BexGetData("DP_1","00O2TNJGODT0K39D8MCMQUGXW","9000","9400")</f>
        <v>105752815.54000001</v>
      </c>
      <c r="AP58" s="7">
        <f>[2]!BexGetData("DP_1","00O2TNJGODT0K39D8MCMQUN9G","9000","9400")</f>
        <v>0</v>
      </c>
      <c r="AQ58" s="7">
        <f>[2]!BexGetData("DP_1","00O2TNJGODT0K39D8MCMQUZWK","9000","9400")</f>
        <v>0</v>
      </c>
      <c r="AR58" s="2">
        <f>[2]!BexGetData("DP_1","00O2TNJGODT0K39D8MCMQWR44","9000","9400")</f>
        <v>120380876.17</v>
      </c>
      <c r="AS58" s="16">
        <f>[2]!BexGetData("DP_1","00O2TNJGODT0K39D8MCMQXGEC","9000","9400")</f>
        <v>0.87848517891377997</v>
      </c>
      <c r="AT58" s="2">
        <f>[2]!BexGetData("DP_1","00O2TNJGODT0K39D8MCMQXMPW","9000","9400")</f>
        <v>-14628060.630000001</v>
      </c>
      <c r="AU58" s="5">
        <f>[2]!BexGetData("DP_1","00O2TNJGODT0K39D8MCMQXT1G","9000","9400")</f>
        <v>0</v>
      </c>
    </row>
    <row r="59" spans="1:47" x14ac:dyDescent="0.2">
      <c r="A59" s="1" t="s">
        <v>12</v>
      </c>
      <c r="B59" s="1" t="s">
        <v>121</v>
      </c>
      <c r="C59" s="2">
        <f>[2]!BexGetData("DP_1","00O2TNJGODT0K39D8MCMQEUDG","9000","9500")</f>
        <v>60000000</v>
      </c>
      <c r="D59" s="3">
        <f>[2]!BexGetData("DP_1","00O2TNJGODT0K39D8MCMQF0P0","9000","9500")</f>
        <v>15000000</v>
      </c>
      <c r="E59" s="3">
        <f>[2]!BexGetData("DP_1","00O2TNJGODT0K39D8MCMQF70K","9000","9500")</f>
        <v>15000000</v>
      </c>
      <c r="F59" s="3">
        <f>[2]!BexGetData("DP_1","00O2TNJGODT0K39D8MCMQFDC4","9000","9500")</f>
        <v>15000000</v>
      </c>
      <c r="G59" s="3">
        <f>[2]!BexGetData("DP_1","00O2TNJGODT0K39D8MCMQFJNO","9000","9500")</f>
        <v>15000000</v>
      </c>
      <c r="H59" s="2">
        <f>[2]!BexGetData("DP_1","00O2TNJGODT0K39D8MCMQGLL0","9000","9500")</f>
        <v>10745890.119999999</v>
      </c>
      <c r="I59" s="2">
        <f>[2]!BexGetData("DP_1","00O2TNJGODT0K39D8MCMQHNIC","9000","9500")</f>
        <v>-64825377.25</v>
      </c>
      <c r="J59" s="2">
        <f>[2]!BexGetData("DP_1","00O2TNJGODT0K3B5ZBNSUNZD9","9000","9500")</f>
        <v>-54079487.130000003</v>
      </c>
      <c r="K59" s="2">
        <f>[2]!BexGetData("DP_1","00O2TNJGODT0K39D8MCMQHTTW","9000","9500")</f>
        <v>5920512.8700000001</v>
      </c>
      <c r="L59" s="2">
        <f>[2]!BexGetData("DP_1","00O2TNJGODT0K39D8MCMQI05G","9000","9500")</f>
        <v>-9076487.1300000008</v>
      </c>
      <c r="M59" s="2">
        <f>[2]!BexGetData("DP_1","00O2TNJGODT0K39D8MCMQI6H0","9000","9500")</f>
        <v>-15003000</v>
      </c>
      <c r="N59" s="2">
        <f>[2]!BexGetData("DP_1","00O2TNJGODT0K39D8MCMQICSK","9000","9500")</f>
        <v>15450000</v>
      </c>
      <c r="O59" s="2">
        <f>[2]!BexGetData("DP_1","00O2TNJGODT0K39D8MCMQIJ44","9000","9500")</f>
        <v>14550000</v>
      </c>
      <c r="P59" s="4" t="str">
        <f>[2]!BexGetData("DP_1","00O2TNJGODT0K39D8MCMQIVR8","9000","9500")</f>
        <v/>
      </c>
      <c r="Q59" s="2">
        <f>[2]!BexGetData("DP_1","00O2TNJGODT0K39D8MCMQJ22S","9000","9500")</f>
        <v>5920512.8700000001</v>
      </c>
      <c r="R59" s="2">
        <f>[2]!BexGetData("DP_1","00O2TNJGODT0K39D8MCMQJRD0","9000","9500")</f>
        <v>5920512.8700000001</v>
      </c>
      <c r="S59" s="2">
        <f>[2]!BexGetData("DP_1","00O2TNJGODT0K39D8MCMQLIKK","9000","9500")</f>
        <v>-5920512.8700000001</v>
      </c>
      <c r="T59" s="5">
        <f>[2]!BexGetData("DP_1","00O2TNJGODT0K39D8MCMQLOW4","9000","9500")</f>
        <v>0</v>
      </c>
      <c r="U59" s="2">
        <f>[2]!BexGetData("DP_1","00O2TNJGODT0K39D8MCMQJXOK","9000","9500")</f>
        <v>5920512.8700000001</v>
      </c>
      <c r="V59" s="2">
        <f>[2]!BexGetData("DP_1","00O2TNJGODT0K39D8MCMQO5DW","9000","9500")</f>
        <v>5920512.8700000001</v>
      </c>
      <c r="W59" s="5">
        <f>[2]!BexGetData("DP_1","00O2TNJGODT0K39D8MCMQP7B8","9000","9500")</f>
        <v>0</v>
      </c>
      <c r="X59" s="5">
        <f>[2]!BexGetData("DP_1","00O2TNJGODT0K39D8MCMQQ98K","9000","9500")</f>
        <v>0</v>
      </c>
      <c r="Y59" s="5">
        <f>[2]!BexGetData("DP_1","00O2TNJGODT0K39D8MCMQRB5W","9000","9500")</f>
        <v>0</v>
      </c>
      <c r="Z59" s="5">
        <f>[2]!BexGetData("DP_1","00O2TNJGODT0K39D8MCMQSD38","9000","9500")</f>
        <v>0</v>
      </c>
      <c r="AA59" s="5">
        <f>[2]!BexGetData("DP_1","00O2TNJGODT0K39D8MCMQSJES","9000","9500")</f>
        <v>0</v>
      </c>
      <c r="AB59" s="2">
        <f>[2]!BexGetData("DP_1","00O2TNJGODT0K39D8MCMQKABO","9000","9500")</f>
        <v>5920512.8700000001</v>
      </c>
      <c r="AC59" s="2">
        <f>[2]!BexGetData("DP_1","00O2TNJGODT0K39D8MCMQOBPG","9000","9500")</f>
        <v>5920512.8700000001</v>
      </c>
      <c r="AD59" s="5">
        <f>[2]!BexGetData("DP_1","00O2TNJGODT0K39D8MCMQPDMS","9000","9500")</f>
        <v>0</v>
      </c>
      <c r="AE59" s="5">
        <f>[2]!BexGetData("DP_1","00O2TNJGODT0K39D8MCMQQFK4","9000","9500")</f>
        <v>0</v>
      </c>
      <c r="AF59" s="5">
        <f>[2]!BexGetData("DP_1","00O2TNJGODT0K39D8MCMQRHHG","9000","9500")</f>
        <v>0</v>
      </c>
      <c r="AG59" s="5">
        <f>[2]!BexGetData("DP_1","00O2TNJGODT0K39D8MCMQSPQC","9000","9500")</f>
        <v>0</v>
      </c>
      <c r="AH59" s="2">
        <f>[2]!BexGetData("DP_1","00O2TNE7L9CBERF5UWFY00YGS","9000","9500")</f>
        <v>5920512.8700000001</v>
      </c>
      <c r="AI59" s="2">
        <f>[2]!BexGetData("DP_1","00O2TNJGODT0K39D8MCMQOI10","9000","9500")</f>
        <v>5920512.8700000001</v>
      </c>
      <c r="AJ59" s="5">
        <f>[2]!BexGetData("DP_1","00O2TNJGODT0K39D8MCMQPJYC","9000","9500")</f>
        <v>0</v>
      </c>
      <c r="AK59" s="5">
        <f>[2]!BexGetData("DP_1","00O2TNJGODT0K39D8MCMQQLVO","9000","9500")</f>
        <v>0</v>
      </c>
      <c r="AL59" s="5">
        <f>[2]!BexGetData("DP_1","00O2TNJGODT0K39D8MCMQRNT0","9000","9500")</f>
        <v>0</v>
      </c>
      <c r="AM59" s="5">
        <f>[2]!BexGetData("DP_1","00O2TNJGODT0K39D8MCMQSW1W","9000","9500")</f>
        <v>0</v>
      </c>
      <c r="AN59" s="5">
        <f>[2]!BexGetData("DP_1","00O2TNJGODT0K39D8MCMQT8P0","9000","9500")</f>
        <v>0</v>
      </c>
      <c r="AO59" s="2">
        <f>[2]!BexGetData("DP_1","00O2TNJGODT0K39D8MCMQUGXW","9000","9500")</f>
        <v>5920512.8700000001</v>
      </c>
      <c r="AP59" s="6">
        <f>[2]!BexGetData("DP_1","00O2TNJGODT0K39D8MCMQUN9G","9000","9500")</f>
        <v>9.8675214499999997E-2</v>
      </c>
      <c r="AQ59" s="6">
        <f>[2]!BexGetData("DP_1","00O2TNJGODT0K39D8MCMQUZWK","9000","9500")</f>
        <v>9.8675214499999997E-2</v>
      </c>
      <c r="AR59" s="2">
        <f>[2]!BexGetData("DP_1","00O2TNJGODT0K39D8MCMQWR44","9000","9500")</f>
        <v>52662997.859999999</v>
      </c>
      <c r="AS59" s="16">
        <f>[2]!BexGetData("DP_1","00O2TNJGODT0K39D8MCMQXGEC","9000","9500")</f>
        <v>0.11242263278933</v>
      </c>
      <c r="AT59" s="2">
        <f>[2]!BexGetData("DP_1","00O2TNJGODT0K39D8MCMQXMPW","9000","9500")</f>
        <v>-46742484.990000002</v>
      </c>
      <c r="AU59" s="5">
        <f>[2]!BexGetData("DP_1","00O2TNJGODT0K39D8MCMQXT1G","9000","9500")</f>
        <v>0</v>
      </c>
    </row>
    <row r="60" spans="1:47" x14ac:dyDescent="0.2">
      <c r="A60" s="1" t="s">
        <v>12</v>
      </c>
      <c r="B60" s="1" t="s">
        <v>102</v>
      </c>
      <c r="C60" s="2">
        <f>[2]!BexGetData("DP_1","00O2TNJGODT0K39D8MCMQEUDG","9000","9600")</f>
        <v>195865512.53999999</v>
      </c>
      <c r="D60" s="3">
        <f>[2]!BexGetData("DP_1","00O2TNJGODT0K39D8MCMQF0P0","9000","9600")</f>
        <v>56163620</v>
      </c>
      <c r="E60" s="3">
        <f>[2]!BexGetData("DP_1","00O2TNJGODT0K39D8MCMQF70K","9000","9600")</f>
        <v>55464521</v>
      </c>
      <c r="F60" s="3">
        <f>[2]!BexGetData("DP_1","00O2TNJGODT0K39D8MCMQFDC4","9000","9600")</f>
        <v>54890798</v>
      </c>
      <c r="G60" s="3">
        <f>[2]!BexGetData("DP_1","00O2TNJGODT0K39D8MCMQFJNO","9000","9600")</f>
        <v>29346573.539999999</v>
      </c>
      <c r="H60" s="2">
        <f>[2]!BexGetData("DP_1","00O2TNJGODT0K39D8MCMQGLL0","9000","9600")</f>
        <v>66132621.740000002</v>
      </c>
      <c r="I60" s="2">
        <f>[2]!BexGetData("DP_1","00O2TNJGODT0K39D8MCMQHNIC","9000","9600")</f>
        <v>-54406464.75</v>
      </c>
      <c r="J60" s="2">
        <f>[2]!BexGetData("DP_1","00O2TNJGODT0K3B5ZBNSUNZD9","9000","9600")</f>
        <v>11726156.99</v>
      </c>
      <c r="K60" s="2">
        <f>[2]!BexGetData("DP_1","00O2TNJGODT0K39D8MCMQHTTW","9000","9600")</f>
        <v>207591669.53</v>
      </c>
      <c r="L60" s="2">
        <f>[2]!BexGetData("DP_1","00O2TNJGODT0K39D8MCMQI05G","9000","9600")</f>
        <v>35820918.460000001</v>
      </c>
      <c r="M60" s="2">
        <f>[2]!BexGetData("DP_1","00O2TNJGODT0K39D8MCMQI6H0","9000","9600")</f>
        <v>55464521</v>
      </c>
      <c r="N60" s="2">
        <f>[2]!BexGetData("DP_1","00O2TNJGODT0K39D8MCMQICSK","9000","9600")</f>
        <v>54890798</v>
      </c>
      <c r="O60" s="2">
        <f>[2]!BexGetData("DP_1","00O2TNJGODT0K39D8MCMQIJ44","9000","9600")</f>
        <v>61415432.07</v>
      </c>
      <c r="P60" s="4" t="str">
        <f>[2]!BexGetData("DP_1","00O2TNJGODT0K39D8MCMQIVR8","9000","9600")</f>
        <v/>
      </c>
      <c r="Q60" s="2">
        <f>[2]!BexGetData("DP_1","00O2TNJGODT0K39D8MCMQJ22S","9000","9600")</f>
        <v>207591669.53</v>
      </c>
      <c r="R60" s="2">
        <f>[2]!BexGetData("DP_1","00O2TNJGODT0K39D8MCMQJRD0","9000","9600")</f>
        <v>207591669.53</v>
      </c>
      <c r="S60" s="2">
        <f>[2]!BexGetData("DP_1","00O2TNJGODT0K39D8MCMQLIKK","9000","9600")</f>
        <v>-207591669.53</v>
      </c>
      <c r="T60" s="5">
        <f>[2]!BexGetData("DP_1","00O2TNJGODT0K39D8MCMQLOW4","9000","9600")</f>
        <v>0</v>
      </c>
      <c r="U60" s="2">
        <f>[2]!BexGetData("DP_1","00O2TNJGODT0K39D8MCMQJXOK","9000","9600")</f>
        <v>207591669.53</v>
      </c>
      <c r="V60" s="2">
        <f>[2]!BexGetData("DP_1","00O2TNJGODT0K39D8MCMQO5DW","9000","9600")</f>
        <v>57685410.329999998</v>
      </c>
      <c r="W60" s="2">
        <f>[2]!BexGetData("DP_1","00O2TNJGODT0K39D8MCMQP7B8","9000","9600")</f>
        <v>51842321.07</v>
      </c>
      <c r="X60" s="2">
        <f>[2]!BexGetData("DP_1","00O2TNJGODT0K39D8MCMQQ98K","9000","9600")</f>
        <v>49093194.539999999</v>
      </c>
      <c r="Y60" s="2">
        <f>[2]!BexGetData("DP_1","00O2TNJGODT0K39D8MCMQRB5W","9000","9600")</f>
        <v>48970743.590000004</v>
      </c>
      <c r="Z60" s="5">
        <f>[2]!BexGetData("DP_1","00O2TNJGODT0K39D8MCMQSD38","9000","9600")</f>
        <v>0</v>
      </c>
      <c r="AA60" s="5">
        <f>[2]!BexGetData("DP_1","00O2TNJGODT0K39D8MCMQSJES","9000","9600")</f>
        <v>0</v>
      </c>
      <c r="AB60" s="2">
        <f>[2]!BexGetData("DP_1","00O2TNJGODT0K39D8MCMQKABO","9000","9600")</f>
        <v>207591669.53</v>
      </c>
      <c r="AC60" s="2">
        <f>[2]!BexGetData("DP_1","00O2TNJGODT0K39D8MCMQOBPG","9000","9600")</f>
        <v>57685410.329999998</v>
      </c>
      <c r="AD60" s="2">
        <f>[2]!BexGetData("DP_1","00O2TNJGODT0K39D8MCMQPDMS","9000","9600")</f>
        <v>51842321.07</v>
      </c>
      <c r="AE60" s="2">
        <f>[2]!BexGetData("DP_1","00O2TNJGODT0K39D8MCMQQFK4","9000","9600")</f>
        <v>49093194.539999999</v>
      </c>
      <c r="AF60" s="2">
        <f>[2]!BexGetData("DP_1","00O2TNJGODT0K39D8MCMQRHHG","9000","9600")</f>
        <v>48970743.590000004</v>
      </c>
      <c r="AG60" s="5">
        <f>[2]!BexGetData("DP_1","00O2TNJGODT0K39D8MCMQSPQC","9000","9600")</f>
        <v>0</v>
      </c>
      <c r="AH60" s="2">
        <f>[2]!BexGetData("DP_1","00O2TNE7L9CBERF5UWFY00YGS","9000","9600")</f>
        <v>207591669.53</v>
      </c>
      <c r="AI60" s="2">
        <f>[2]!BexGetData("DP_1","00O2TNJGODT0K39D8MCMQOI10","9000","9600")</f>
        <v>57685410.329999998</v>
      </c>
      <c r="AJ60" s="2">
        <f>[2]!BexGetData("DP_1","00O2TNJGODT0K39D8MCMQPJYC","9000","9600")</f>
        <v>51842321.07</v>
      </c>
      <c r="AK60" s="2">
        <f>[2]!BexGetData("DP_1","00O2TNJGODT0K39D8MCMQQLVO","9000","9600")</f>
        <v>40457616.939999998</v>
      </c>
      <c r="AL60" s="2">
        <f>[2]!BexGetData("DP_1","00O2TNJGODT0K39D8MCMQRNT0","9000","9600")</f>
        <v>57606321.189999998</v>
      </c>
      <c r="AM60" s="5">
        <f>[2]!BexGetData("DP_1","00O2TNJGODT0K39D8MCMQSW1W","9000","9600")</f>
        <v>0</v>
      </c>
      <c r="AN60" s="5">
        <f>[2]!BexGetData("DP_1","00O2TNJGODT0K39D8MCMQT8P0","9000","9600")</f>
        <v>0</v>
      </c>
      <c r="AO60" s="2">
        <f>[2]!BexGetData("DP_1","00O2TNJGODT0K39D8MCMQUGXW","9000","9600")</f>
        <v>207591669.53</v>
      </c>
      <c r="AP60" s="6">
        <f>[2]!BexGetData("DP_1","00O2TNJGODT0K39D8MCMQUN9G","9000","9600")</f>
        <v>1.0598684109210199</v>
      </c>
      <c r="AQ60" s="6">
        <f>[2]!BexGetData("DP_1","00O2TNJGODT0K39D8MCMQUZWK","9000","9600")</f>
        <v>1.0598684109210199</v>
      </c>
      <c r="AR60" s="2">
        <f>[2]!BexGetData("DP_1","00O2TNJGODT0K39D8MCMQWR44","9000","9600")</f>
        <v>212290814.94</v>
      </c>
      <c r="AS60" s="16">
        <f>[2]!BexGetData("DP_1","00O2TNJGODT0K39D8MCMQXGEC","9000","9600")</f>
        <v>0.97786458443183999</v>
      </c>
      <c r="AT60" s="2">
        <f>[2]!BexGetData("DP_1","00O2TNJGODT0K39D8MCMQXMPW","9000","9600")</f>
        <v>-4699145.41</v>
      </c>
      <c r="AU60" s="5">
        <f>[2]!BexGetData("DP_1","00O2TNJGODT0K39D8MCMQXT1G","9000","9600")</f>
        <v>0</v>
      </c>
    </row>
    <row r="61" spans="1:47" x14ac:dyDescent="0.2">
      <c r="A61" s="1" t="s">
        <v>12</v>
      </c>
      <c r="B61" s="1" t="s">
        <v>87</v>
      </c>
      <c r="C61" s="2">
        <f>[2]!BexGetData("DP_1","00O2TNJGODT0K39D8MCMQEUDG","9000","9900")</f>
        <v>1000000000</v>
      </c>
      <c r="D61" s="3">
        <f>[2]!BexGetData("DP_1","00O2TNJGODT0K39D8MCMQF0P0","9000","9900")</f>
        <v>1000000000</v>
      </c>
      <c r="E61" s="4" t="str">
        <f>[2]!BexGetData("DP_1","00O2TNJGODT0K39D8MCMQF70K","9000","9900")</f>
        <v/>
      </c>
      <c r="F61" s="4" t="str">
        <f>[2]!BexGetData("DP_1","00O2TNJGODT0K39D8MCMQFDC4","9000","9900")</f>
        <v/>
      </c>
      <c r="G61" s="4" t="str">
        <f>[2]!BexGetData("DP_1","00O2TNJGODT0K39D8MCMQFJNO","9000","9900")</f>
        <v/>
      </c>
      <c r="H61" s="2">
        <f>[2]!BexGetData("DP_1","00O2TNJGODT0K39D8MCMQGLL0","9000","9900")</f>
        <v>2828760349.6199999</v>
      </c>
      <c r="I61" s="2">
        <f>[2]!BexGetData("DP_1","00O2TNJGODT0K39D8MCMQHNIC","9000","9900")</f>
        <v>-1967495444.48</v>
      </c>
      <c r="J61" s="2">
        <f>[2]!BexGetData("DP_1","00O2TNJGODT0K3B5ZBNSUNZD9","9000","9900")</f>
        <v>861264905.13999999</v>
      </c>
      <c r="K61" s="2">
        <f>[2]!BexGetData("DP_1","00O2TNJGODT0K39D8MCMQHTTW","9000","9900")</f>
        <v>1861264905.1400001</v>
      </c>
      <c r="L61" s="2">
        <f>[2]!BexGetData("DP_1","00O2TNJGODT0K39D8MCMQI05G","9000","9900")</f>
        <v>1689441451.1700001</v>
      </c>
      <c r="M61" s="2">
        <f>[2]!BexGetData("DP_1","00O2TNJGODT0K39D8MCMQI6H0","9000","9900")</f>
        <v>232442610.55000001</v>
      </c>
      <c r="N61" s="2">
        <f>[2]!BexGetData("DP_1","00O2TNJGODT0K39D8MCMQICSK","9000","9900")</f>
        <v>-45129321.619999997</v>
      </c>
      <c r="O61" s="2">
        <f>[2]!BexGetData("DP_1","00O2TNJGODT0K39D8MCMQIJ44","9000","9900")</f>
        <v>-15489834.960000001</v>
      </c>
      <c r="P61" s="5">
        <f>[2]!BexGetData("DP_1","00O2TNJGODT0K39D8MCMQIVR8","9000","9900")</f>
        <v>0</v>
      </c>
      <c r="Q61" s="2">
        <f>[2]!BexGetData("DP_1","00O2TNJGODT0K39D8MCMQJ22S","9000","9900")</f>
        <v>1861264905.1400001</v>
      </c>
      <c r="R61" s="2">
        <f>[2]!BexGetData("DP_1","00O2TNJGODT0K39D8MCMQJRD0","9000","9900")</f>
        <v>1840773673.78</v>
      </c>
      <c r="S61" s="2">
        <f>[2]!BexGetData("DP_1","00O2TNJGODT0K39D8MCMQLIKK","9000","9900")</f>
        <v>-1840773673.78</v>
      </c>
      <c r="T61" s="2">
        <f>[2]!BexGetData("DP_1","00O2TNJGODT0K39D8MCMQLOW4","9000","9900")</f>
        <v>20491231.359999999</v>
      </c>
      <c r="U61" s="2">
        <f>[2]!BexGetData("DP_1","00O2TNJGODT0K39D8MCMQJXOK","9000","9900")</f>
        <v>1840773673.78</v>
      </c>
      <c r="V61" s="2">
        <f>[2]!BexGetData("DP_1","00O2TNJGODT0K39D8MCMQO5DW","9000","9900")</f>
        <v>1678166317.0999999</v>
      </c>
      <c r="W61" s="2">
        <f>[2]!BexGetData("DP_1","00O2TNJGODT0K39D8MCMQP7B8","9000","9900")</f>
        <v>145063457.25999999</v>
      </c>
      <c r="X61" s="2">
        <f>[2]!BexGetData("DP_1","00O2TNJGODT0K39D8MCMQQ98K","9000","9900")</f>
        <v>-4241910.4800000004</v>
      </c>
      <c r="Y61" s="2">
        <f>[2]!BexGetData("DP_1","00O2TNJGODT0K39D8MCMQRB5W","9000","9900")</f>
        <v>21785809.899999999</v>
      </c>
      <c r="Z61" s="5">
        <f>[2]!BexGetData("DP_1","00O2TNJGODT0K39D8MCMQSD38","9000","9900")</f>
        <v>0</v>
      </c>
      <c r="AA61" s="2">
        <f>[2]!BexGetData("DP_1","00O2TNJGODT0K39D8MCMQSJES","9000","9900")</f>
        <v>20491231.359999999</v>
      </c>
      <c r="AB61" s="2">
        <f>[2]!BexGetData("DP_1","00O2TNJGODT0K39D8MCMQKABO","9000","9900")</f>
        <v>1839899822.5799999</v>
      </c>
      <c r="AC61" s="2">
        <f>[2]!BexGetData("DP_1","00O2TNJGODT0K39D8MCMQOBPG","9000","9900")</f>
        <v>1630737583.8499999</v>
      </c>
      <c r="AD61" s="2">
        <f>[2]!BexGetData("DP_1","00O2TNJGODT0K39D8MCMQPDMS","9000","9900")</f>
        <v>182606032.87</v>
      </c>
      <c r="AE61" s="2">
        <f>[2]!BexGetData("DP_1","00O2TNJGODT0K39D8MCMQQFK4","9000","9900")</f>
        <v>-537866.93000000005</v>
      </c>
      <c r="AF61" s="2">
        <f>[2]!BexGetData("DP_1","00O2TNJGODT0K39D8MCMQRHHG","9000","9900")</f>
        <v>27094072.789999999</v>
      </c>
      <c r="AG61" s="2">
        <f>[2]!BexGetData("DP_1","00O2TNJGODT0K39D8MCMQSPQC","9000","9900")</f>
        <v>873851.2</v>
      </c>
      <c r="AH61" s="2">
        <f>[2]!BexGetData("DP_1","00O2TNE7L9CBERF5UWFY00YGS","9000","9900")</f>
        <v>1803411923.1300001</v>
      </c>
      <c r="AI61" s="2">
        <f>[2]!BexGetData("DP_1","00O2TNJGODT0K39D8MCMQOI10","9000","9900")</f>
        <v>1318912099.03</v>
      </c>
      <c r="AJ61" s="2">
        <f>[2]!BexGetData("DP_1","00O2TNJGODT0K39D8MCMQPJYC","9000","9900")</f>
        <v>364029773.93000001</v>
      </c>
      <c r="AK61" s="2">
        <f>[2]!BexGetData("DP_1","00O2TNJGODT0K39D8MCMQQLVO","9000","9900")</f>
        <v>74461742.209999993</v>
      </c>
      <c r="AL61" s="2">
        <f>[2]!BexGetData("DP_1","00O2TNJGODT0K39D8MCMQRNT0","9000","9900")</f>
        <v>46008307.960000001</v>
      </c>
      <c r="AM61" s="2">
        <f>[2]!BexGetData("DP_1","00O2TNJGODT0K39D8MCMQSW1W","9000","9900")</f>
        <v>36487899.450000003</v>
      </c>
      <c r="AN61" s="2">
        <f>[2]!BexGetData("DP_1","00O2TNJGODT0K39D8MCMQT8P0","9000","9900")</f>
        <v>20491231.359999999</v>
      </c>
      <c r="AO61" s="2">
        <f>[2]!BexGetData("DP_1","00O2TNJGODT0K39D8MCMQUGXW","9000","9900")</f>
        <v>1861264905.1400001</v>
      </c>
      <c r="AP61" s="6">
        <f>[2]!BexGetData("DP_1","00O2TNJGODT0K39D8MCMQUN9G","9000","9900")</f>
        <v>1.84077367378</v>
      </c>
      <c r="AQ61" s="6">
        <f>[2]!BexGetData("DP_1","00O2TNJGODT0K39D8MCMQUZWK","9000","9900")</f>
        <v>1.84077367378</v>
      </c>
      <c r="AR61" s="2">
        <f>[2]!BexGetData("DP_1","00O2TNJGODT0K39D8MCMQWR44","9000","9900")</f>
        <v>1051386298.35</v>
      </c>
      <c r="AS61" s="16">
        <f>[2]!BexGetData("DP_1","00O2TNJGODT0K39D8MCMQXGEC","9000","9900")</f>
        <v>1.7508062228591199</v>
      </c>
      <c r="AT61" s="2">
        <f>[2]!BexGetData("DP_1","00O2TNJGODT0K39D8MCMQXMPW","9000","9900")</f>
        <v>789387375.42999995</v>
      </c>
      <c r="AU61" s="5">
        <f>[2]!BexGetData("DP_1","00O2TNJGODT0K39D8MCMQXT1G","9000","9900")</f>
        <v>0</v>
      </c>
    </row>
    <row r="62" spans="1:47" x14ac:dyDescent="0.2">
      <c r="A62" s="1" t="s">
        <v>12</v>
      </c>
      <c r="B62" s="10" t="s">
        <v>88</v>
      </c>
      <c r="C62" s="11">
        <f>[2]!BexGetData("DP_1","00O2TNJGODT0K39D8MCMQEUDG","9000","SUMME")</f>
        <v>4003894765.4699998</v>
      </c>
      <c r="D62" s="12">
        <f>[2]!BexGetData("DP_1","00O2TNJGODT0K39D8MCMQF0P0","9000","SUMME")</f>
        <v>1916902491</v>
      </c>
      <c r="E62" s="12">
        <f>[2]!BexGetData("DP_1","00O2TNJGODT0K39D8MCMQF70K","9000","SUMME")</f>
        <v>838055781.33000004</v>
      </c>
      <c r="F62" s="12">
        <f>[2]!BexGetData("DP_1","00O2TNJGODT0K39D8MCMQFDC4","9000","SUMME")</f>
        <v>632108756.66999996</v>
      </c>
      <c r="G62" s="12">
        <f>[2]!BexGetData("DP_1","00O2TNJGODT0K39D8MCMQFJNO","9000","SUMME")</f>
        <v>616827736.47000003</v>
      </c>
      <c r="H62" s="11">
        <f>[2]!BexGetData("DP_1","00O2TNJGODT0K39D8MCMQGLL0","9000","SUMME")</f>
        <v>9916825178.7900009</v>
      </c>
      <c r="I62" s="11">
        <f>[2]!BexGetData("DP_1","00O2TNJGODT0K39D8MCMQHNIC","9000","SUMME")</f>
        <v>-4996783043.2600002</v>
      </c>
      <c r="J62" s="11">
        <f>[2]!BexGetData("DP_1","00O2TNJGODT0K3B5ZBNSUNZD9","9000","SUMME")</f>
        <v>4920042135.5299997</v>
      </c>
      <c r="K62" s="11">
        <f>[2]!BexGetData("DP_1","00O2TNJGODT0K39D8MCMQHTTW","9000","SUMME")</f>
        <v>8923936901</v>
      </c>
      <c r="L62" s="11">
        <f>[2]!BexGetData("DP_1","00O2TNJGODT0K39D8MCMQI05G","9000","SUMME")</f>
        <v>3915578187.0700002</v>
      </c>
      <c r="M62" s="11">
        <f>[2]!BexGetData("DP_1","00O2TNJGODT0K39D8MCMQI6H0","9000","SUMME")</f>
        <v>1272469478.03</v>
      </c>
      <c r="N62" s="11">
        <f>[2]!BexGetData("DP_1","00O2TNJGODT0K39D8MCMQICSK","9000","SUMME")</f>
        <v>1731637215.24</v>
      </c>
      <c r="O62" s="11">
        <f>[2]!BexGetData("DP_1","00O2TNJGODT0K39D8MCMQIJ44","9000","SUMME")</f>
        <v>2004252020.6600001</v>
      </c>
      <c r="P62" s="14">
        <f>[2]!BexGetData("DP_1","00O2TNJGODT0K39D8MCMQIVR8","9000","SUMME")</f>
        <v>0</v>
      </c>
      <c r="Q62" s="11">
        <f>[2]!BexGetData("DP_1","00O2TNJGODT0K39D8MCMQJ22S","9000","SUMME")</f>
        <v>8923936901</v>
      </c>
      <c r="R62" s="11">
        <f>[2]!BexGetData("DP_1","00O2TNJGODT0K39D8MCMQJRD0","9000","SUMME")</f>
        <v>8812536579.6399994</v>
      </c>
      <c r="S62" s="11">
        <f>[2]!BexGetData("DP_1","00O2TNJGODT0K39D8MCMQLIKK","9000","SUMME")</f>
        <v>-8812536579.6399994</v>
      </c>
      <c r="T62" s="11">
        <f>[2]!BexGetData("DP_1","00O2TNJGODT0K39D8MCMQLOW4","9000","SUMME")</f>
        <v>111400321.36</v>
      </c>
      <c r="U62" s="11">
        <f>[2]!BexGetData("DP_1","00O2TNJGODT0K39D8MCMQJXOK","9000","SUMME")</f>
        <v>8812536579.6399994</v>
      </c>
      <c r="V62" s="11">
        <f>[2]!BexGetData("DP_1","00O2TNJGODT0K39D8MCMQO5DW","9000","SUMME")</f>
        <v>4519042718.1300001</v>
      </c>
      <c r="W62" s="11">
        <f>[2]!BexGetData("DP_1","00O2TNJGODT0K39D8MCMQP7B8","9000","SUMME")</f>
        <v>1449566560.3399999</v>
      </c>
      <c r="X62" s="11">
        <f>[2]!BexGetData("DP_1","00O2TNJGODT0K39D8MCMQQ98K","9000","SUMME")</f>
        <v>1375200643.1700001</v>
      </c>
      <c r="Y62" s="11">
        <f>[2]!BexGetData("DP_1","00O2TNJGODT0K39D8MCMQRB5W","9000","SUMME")</f>
        <v>1468726658</v>
      </c>
      <c r="Z62" s="14">
        <f>[2]!BexGetData("DP_1","00O2TNJGODT0K39D8MCMQSD38","9000","SUMME")</f>
        <v>0</v>
      </c>
      <c r="AA62" s="11">
        <f>[2]!BexGetData("DP_1","00O2TNJGODT0K39D8MCMQSJES","9000","SUMME")</f>
        <v>111400321.36</v>
      </c>
      <c r="AB62" s="11">
        <f>[2]!BexGetData("DP_1","00O2TNJGODT0K39D8MCMQKABO","9000","SUMME")</f>
        <v>8811662728.4400005</v>
      </c>
      <c r="AC62" s="11">
        <f>[2]!BexGetData("DP_1","00O2TNJGODT0K39D8MCMQOBPG","9000","SUMME")</f>
        <v>4471613984.8800001</v>
      </c>
      <c r="AD62" s="11">
        <f>[2]!BexGetData("DP_1","00O2TNJGODT0K39D8MCMQPDMS","9000","SUMME")</f>
        <v>1487109135.95</v>
      </c>
      <c r="AE62" s="11">
        <f>[2]!BexGetData("DP_1","00O2TNJGODT0K39D8MCMQQFK4","9000","SUMME")</f>
        <v>1378904686.72</v>
      </c>
      <c r="AF62" s="11">
        <f>[2]!BexGetData("DP_1","00O2TNJGODT0K39D8MCMQRHHG","9000","SUMME")</f>
        <v>1474034920.8900001</v>
      </c>
      <c r="AG62" s="11">
        <f>[2]!BexGetData("DP_1","00O2TNJGODT0K39D8MCMQSPQC","9000","SUMME")</f>
        <v>873851.2</v>
      </c>
      <c r="AH62" s="11">
        <f>[2]!BexGetData("DP_1","00O2TNE7L9CBERF5UWFY00YGS","9000","SUMME")</f>
        <v>8760456880.4799995</v>
      </c>
      <c r="AI62" s="11">
        <f>[2]!BexGetData("DP_1","00O2TNJGODT0K39D8MCMQOI10","9000","SUMME")</f>
        <v>4158860500.0599999</v>
      </c>
      <c r="AJ62" s="11">
        <f>[2]!BexGetData("DP_1","00O2TNJGODT0K39D8MCMQPJYC","9000","SUMME")</f>
        <v>1668784969.6099999</v>
      </c>
      <c r="AK62" s="11">
        <f>[2]!BexGetData("DP_1","00O2TNJGODT0K39D8MCMQQLVO","9000","SUMME")</f>
        <v>1444391944.75</v>
      </c>
      <c r="AL62" s="11">
        <f>[2]!BexGetData("DP_1","00O2TNJGODT0K39D8MCMQRNT0","9000","SUMME")</f>
        <v>1488419466.0599999</v>
      </c>
      <c r="AM62" s="11">
        <f>[2]!BexGetData("DP_1","00O2TNJGODT0K39D8MCMQSW1W","9000","SUMME")</f>
        <v>51205847.960000001</v>
      </c>
      <c r="AN62" s="11">
        <f>[2]!BexGetData("DP_1","00O2TNJGODT0K39D8MCMQT8P0","9000","SUMME")</f>
        <v>111400321.36</v>
      </c>
      <c r="AO62" s="11">
        <f>[2]!BexGetData("DP_1","00O2TNJGODT0K39D8MCMQUGXW","9000","SUMME")</f>
        <v>8923936901</v>
      </c>
      <c r="AP62" s="15">
        <f>[2]!BexGetData("DP_1","00O2TNJGODT0K39D8MCMQUN9G","9000","SUMME")</f>
        <v>2.20099105891599</v>
      </c>
      <c r="AQ62" s="15">
        <f>[2]!BexGetData("DP_1","00O2TNJGODT0K39D8MCMQUZWK","9000","SUMME")</f>
        <v>2.20099105891599</v>
      </c>
      <c r="AR62" s="11">
        <f>[2]!BexGetData("DP_1","00O2TNJGODT0K39D8MCMQWR44","9000","SUMME")</f>
        <v>9279784177.8500004</v>
      </c>
      <c r="AS62" s="17">
        <f>[2]!BexGetData("DP_1","00O2TNJGODT0K39D8MCMQXGEC","9000","SUMME")</f>
        <v>0.94964887229540995</v>
      </c>
      <c r="AT62" s="11">
        <f>[2]!BexGetData("DP_1","00O2TNJGODT0K39D8MCMQXMPW","9000","SUMME")</f>
        <v>-467247598.20999998</v>
      </c>
      <c r="AU62" s="14">
        <f>[2]!BexGetData("DP_1","00O2TNJGODT0K39D8MCMQXT1G","9000","SUMME")</f>
        <v>0</v>
      </c>
    </row>
    <row r="63" spans="1:47" x14ac:dyDescent="0.2">
      <c r="A63" s="10" t="s">
        <v>89</v>
      </c>
      <c r="B63" s="10" t="s">
        <v>12</v>
      </c>
      <c r="C63" s="11">
        <f>[2]!BexGetData("DP_1","00O2TNJGODT0K39D8MCMQEUDG","SUMME","SUMME")</f>
        <v>56451879944</v>
      </c>
      <c r="D63" s="12">
        <f>[2]!BexGetData("DP_1","00O2TNJGODT0K39D8MCMQF0P0","SUMME","SUMME")</f>
        <v>15116015040.540001</v>
      </c>
      <c r="E63" s="12">
        <f>[2]!BexGetData("DP_1","00O2TNJGODT0K39D8MCMQF70K","SUMME","SUMME")</f>
        <v>14788310480.379999</v>
      </c>
      <c r="F63" s="12">
        <f>[2]!BexGetData("DP_1","00O2TNJGODT0K39D8MCMQFDC4","SUMME","SUMME")</f>
        <v>13394422714.85</v>
      </c>
      <c r="G63" s="12">
        <f>[2]!BexGetData("DP_1","00O2TNJGODT0K39D8MCMQFJNO","SUMME","SUMME")</f>
        <v>13153131708.23</v>
      </c>
      <c r="H63" s="11">
        <f>[2]!BexGetData("DP_1","00O2TNJGODT0K39D8MCMQGLL0","SUMME","SUMME")</f>
        <v>66082360843.449997</v>
      </c>
      <c r="I63" s="11">
        <f>[2]!BexGetData("DP_1","00O2TNJGODT0K39D8MCMQHNIC","SUMME","SUMME")</f>
        <v>-53628889266.040001</v>
      </c>
      <c r="J63" s="11">
        <f>[2]!BexGetData("DP_1","00O2TNJGODT0K3B5ZBNSUNZD9","SUMME","SUMME")</f>
        <v>12453471577.41</v>
      </c>
      <c r="K63" s="11">
        <f>[2]!BexGetData("DP_1","00O2TNJGODT0K39D8MCMQHTTW","SUMME","SUMME")</f>
        <v>68905351521.410004</v>
      </c>
      <c r="L63" s="11">
        <f>[2]!BexGetData("DP_1","00O2TNJGODT0K39D8MCMQI05G","SUMME","SUMME")</f>
        <v>19306784581.860001</v>
      </c>
      <c r="M63" s="11">
        <f>[2]!BexGetData("DP_1","00O2TNJGODT0K39D8MCMQI6H0","SUMME","SUMME")</f>
        <v>16601102190.75</v>
      </c>
      <c r="N63" s="11">
        <f>[2]!BexGetData("DP_1","00O2TNJGODT0K39D8MCMQICSK","SUMME","SUMME")</f>
        <v>16474081459.49</v>
      </c>
      <c r="O63" s="11">
        <f>[2]!BexGetData("DP_1","00O2TNJGODT0K39D8MCMQIJ44","SUMME","SUMME")</f>
        <v>16523383289.309999</v>
      </c>
      <c r="P63" s="11">
        <f>[2]!BexGetData("DP_1","00O2TNJGODT0K39D8MCMQIVR8","SUMME","SUMME")</f>
        <v>11441058.300000001</v>
      </c>
      <c r="Q63" s="11">
        <f>[2]!BexGetData("DP_1","00O2TNJGODT0K39D8MCMQJ22S","SUMME","SUMME")</f>
        <v>68893910463.110001</v>
      </c>
      <c r="R63" s="11">
        <f>[2]!BexGetData("DP_1","00O2TNJGODT0K39D8MCMQJRD0","SUMME","SUMME")</f>
        <v>66870375776.75</v>
      </c>
      <c r="S63" s="11">
        <f>[2]!BexGetData("DP_1","00O2TNJGODT0K39D8MCMQLIKK","SUMME","SUMME")</f>
        <v>-66858934718.449997</v>
      </c>
      <c r="T63" s="11">
        <f>[2]!BexGetData("DP_1","00O2TNJGODT0K39D8MCMQLOW4","SUMME","SUMME")</f>
        <v>2023534686.3599999</v>
      </c>
      <c r="U63" s="11">
        <f>[2]!BexGetData("DP_1","00O2TNJGODT0K39D8MCMQJXOK","SUMME","SUMME")</f>
        <v>66021355919.730003</v>
      </c>
      <c r="V63" s="11">
        <f>[2]!BexGetData("DP_1","00O2TNJGODT0K39D8MCMQO5DW","SUMME","SUMME")</f>
        <v>17291965987.720001</v>
      </c>
      <c r="W63" s="11">
        <f>[2]!BexGetData("DP_1","00O2TNJGODT0K39D8MCMQP7B8","SUMME","SUMME")</f>
        <v>15325440104.629999</v>
      </c>
      <c r="X63" s="11">
        <f>[2]!BexGetData("DP_1","00O2TNJGODT0K39D8MCMQQ98K","SUMME","SUMME")</f>
        <v>15348481801.74</v>
      </c>
      <c r="Y63" s="11">
        <f>[2]!BexGetData("DP_1","00O2TNJGODT0K39D8MCMQRB5W","SUMME","SUMME")</f>
        <v>18055468025.639999</v>
      </c>
      <c r="Z63" s="11">
        <f>[2]!BexGetData("DP_1","00O2TNJGODT0K39D8MCMQSD38","SUMME","SUMME")</f>
        <v>849019857.01999998</v>
      </c>
      <c r="AA63" s="11">
        <f>[2]!BexGetData("DP_1","00O2TNJGODT0K39D8MCMQSJES","SUMME","SUMME")</f>
        <v>2883995601.6799998</v>
      </c>
      <c r="AB63" s="11">
        <f>[2]!BexGetData("DP_1","00O2TNJGODT0K39D8MCMQKABO","SUMME","SUMME")</f>
        <v>65778654550.559998</v>
      </c>
      <c r="AC63" s="11">
        <f>[2]!BexGetData("DP_1","00O2TNJGODT0K39D8MCMQOBPG","SUMME","SUMME")</f>
        <v>17084228124.629999</v>
      </c>
      <c r="AD63" s="11">
        <f>[2]!BexGetData("DP_1","00O2TNJGODT0K39D8MCMQPDMS","SUMME","SUMME")</f>
        <v>15388490102.559999</v>
      </c>
      <c r="AE63" s="11">
        <f>[2]!BexGetData("DP_1","00O2TNJGODT0K39D8MCMQQFK4","SUMME","SUMME")</f>
        <v>15285611994.18</v>
      </c>
      <c r="AF63" s="11">
        <f>[2]!BexGetData("DP_1","00O2TNJGODT0K39D8MCMQRHHG","SUMME","SUMME")</f>
        <v>18020324329.189999</v>
      </c>
      <c r="AG63" s="11">
        <f>[2]!BexGetData("DP_1","00O2TNJGODT0K39D8MCMQSPQC","SUMME","SUMME")</f>
        <v>242701369.16999999</v>
      </c>
      <c r="AH63" s="11">
        <f>[2]!BexGetData("DP_1","00O2TNE7L9CBERF5UWFY00YGS","SUMME","SUMME")</f>
        <v>64023629073.760002</v>
      </c>
      <c r="AI63" s="11">
        <f>[2]!BexGetData("DP_1","00O2TNJGODT0K39D8MCMQOI10","SUMME","SUMME")</f>
        <v>16086765368.27</v>
      </c>
      <c r="AJ63" s="11">
        <f>[2]!BexGetData("DP_1","00O2TNJGODT0K39D8MCMQPJYC","SUMME","SUMME")</f>
        <v>15197464002.93</v>
      </c>
      <c r="AK63" s="11">
        <f>[2]!BexGetData("DP_1","00O2TNJGODT0K39D8MCMQQLVO","SUMME","SUMME")</f>
        <v>15062798390.41</v>
      </c>
      <c r="AL63" s="11">
        <f>[2]!BexGetData("DP_1","00O2TNJGODT0K39D8MCMQRNT0","SUMME","SUMME")</f>
        <v>17676601312.150002</v>
      </c>
      <c r="AM63" s="11">
        <f>[2]!BexGetData("DP_1","00O2TNJGODT0K39D8MCMQSW1W","SUMME","SUMME")</f>
        <v>1755025476.8</v>
      </c>
      <c r="AN63" s="11">
        <f>[2]!BexGetData("DP_1","00O2TNJGODT0K39D8MCMQT8P0","SUMME","SUMME")</f>
        <v>2883995601.6799998</v>
      </c>
      <c r="AO63" s="11">
        <f>[2]!BexGetData("DP_1","00O2TNJGODT0K39D8MCMQUGXW","SUMME","SUMME")</f>
        <v>68905351521.410004</v>
      </c>
      <c r="AP63" s="15">
        <f>[2]!BexGetData("DP_1","00O2TNJGODT0K39D8MCMQUN9G","SUMME","SUMME")</f>
        <v>1.1695156296871401</v>
      </c>
      <c r="AQ63" s="15">
        <f>[2]!BexGetData("DP_1","00O2TNJGODT0K39D8MCMQUZWK","SUMME","SUMME")</f>
        <v>1.1695156296871401</v>
      </c>
      <c r="AR63" s="11">
        <f>[2]!BexGetData("DP_1","00O2TNJGODT0K39D8MCMQWR44","SUMME","SUMME")</f>
        <v>62190207385.970001</v>
      </c>
      <c r="AS63" s="17">
        <f>[2]!BexGetData("DP_1","00O2TNJGODT0K39D8MCMQXGEC","SUMME","SUMME")</f>
        <v>1.0616037266121801</v>
      </c>
      <c r="AT63" s="11">
        <f>[2]!BexGetData("DP_1","00O2TNJGODT0K39D8MCMQXMPW","SUMME","SUMME")</f>
        <v>3831148533.7600002</v>
      </c>
      <c r="AU63" s="14">
        <f>[2]!BexGetData("DP_1","00O2TNJGODT0K39D8MCMQXT1G","SUMME","SUMME")</f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7 j 2 + a 3 9 / / P T 0 9 c m r s 5 d v u P V 4 O 3 1 Z 1 e l J m T X F e T H N Z v T H l 5 O f z t s q n e V l + n n W 0 G 9 b J 9 n q H / 3 r 2 3 V Z p d f p S U X 4 r t r q z u O 7 P q T H z 1 5 9 + e L N 6 Y u n v 7 9 2 / / u f v X j 2 5 d G D e z s 7 4 3 v j + z u 7 4 9 2 H n x K + 8 W a P 3 / z + T 4 / f H L 9 8 9 e V P n j 0 9 f U W o v 3 7 1 + 7 / + v T s f v j j + 4 v T o 6 c v f n 8 b I v 9 I A f + K r 0 9 d v a E x n X 9 B f r 3 7 v 3 / / 3 f v 7 6 9 + c / z r 5 8 8 p 0 X X x z 9 1 L M v T k 6 O P 3 / 2 + K 5 + w F + 8 + b 3 f p H e P H r / + 6 o v j J 8 9 P j 3 7 v x 3 f N r 4 / P X v / + r 9 + 8 + u r k z V e v T t H m + P c + e 4 2 f L 7 9 8 f f b m a I c m g m j O v z 8 + + f b x T z 7 / / U 8 F l v y h g P k P / P L i y 6 e n v 7 / 0 z J 9 / 9 c V X / P n L 5 6 c / e a o t q G v u A c 1 e v n r 9 4 s 3 R n m A r f z w m d N 7 8 / s 9 / 8 j l 1 T n i a P x 5 / + 9 X v 8 / s f n 7 w 5 + 0 l G 8 9 t n p 9 K F k h W / E v F O 3 3 w J n P m h + Z I P H r / + / d / 8 P i + P f i + C x r / Q 3 9 S b R y r 5 + z E o + e r o G H / j F / r 7 9 P m b r 8 6 e 7 j L t 9 I 8 9 7 l 0 A f f v x X f 0 N n x A M / U 7 B 6 G / 4 x A N k / x J I P m W e n p 4 9 9 d D X D x 6 f f E n s 8 + L V k X x q / s L H b 4 7 P X r z + / X + v 3 + c Z 3 v / 8 7 P W b l x A R + Q V / H 7 9 5 8 + p M 6 C S k + / 1 f n z 4 / P Q E D e 5 8 B 4 p n 5 D G T m W e R J t 6 R + 9 v z 4 c 8 i a + 8 N Q 3 n z j / 6 l T Y b 7 y / n p M / 7 7 5 / Z W 5 S D r c X / L N 6 8 5 3 5 m / z L R E b O O l f R F 4 e x / P T 4 2 e E 9 O u X R z / + + K 7 3 l / 3 m 5 N s 8 h y + / P A F k / v l Y Z o G o + u X e m x f f + Z x e + H 2 + + 9 2 d N w d P z r 7 6 f X 7 v 1 7 8 P C Y m 2 Q G + f 7 x 2 l e H b S d P d + u s f Y 0 W e P 3 3 z 7 O 2 8 U o c / 3 8 c s b n k 9 m 8 C + O f 2 / 5 C 3 2 6 P x 5 / c f b C + 9 z + A d K / N l N A 4 z x 9 r d R / D S y Z 9 P j t 8 W u i N P f 0 e 7 9 5 / e 1 n z 4 9 + n 8 d 3 z a / 4 7 I u n 9 j P + F Z 8 9 / 5 x + + b 3 5 M / 6 V 1 A 3 J 0 s n p 6 9 e / / x c 0 1 0 w b w x j 2 k y 9 O v 3 h y + q r b j r B 4 R X R n 3 J 6 e E g M + / / 3 p n Y C t 0 I R Y S 5 j R / U E 6 2 V d Y M e 2 1 8 + w r Y u 7 f n y X z 2 e / z z e m w v f + / 6 r A u w X 6 k y X 6 k y Q J N 9 l O 7 X 5 2 8 H N R k B / 9 f 1 G O / z / 8 3 9 N j J 7 3 / 8 6 v T 4 m 9 N h 9 3 7 2 d d j O z 5 k O M 8 T 6 k f 7 6 k f 4 K 9 d f e d 7 7 4 v Y f 0 1 9 6 9 / 7 f r r 9 / 7 / 6 P 6 6 + S L L 9 7 8 / m d v T r 8 Q 3 + L 0 5 P M P 0 2 Q Y N P / 8 e R B X x o n 3 I 8 3 2 c 6 L Z d v 9 f q 9 l + n 9 / 7 8 y d v B j 2 z T 3 8 U Y / 4 s 6 T Y R y Z M v P 0 i f 4 a f V Z P v / f 9 V k j l Q / 0 l 4 / J 9 r r / 8 V + 2 c 6 9 + / e H t F f 6 6 Y 9 0 F 4 v b N 6 2 7 O N 3 z + v c / e f P q m 9 N e 9 3 / 2 t d f u z 4 n 2 8 o n 1 I / 3 1 I / 0 V e l 8 / 9 R N n u 4 P 6 6 / 9 V c e X v H d F f v 3 d E f / 1 / I a 4 8 / u L L r 1 6 8 w e i / O Q X 2 6 c + + A v u 5 c b 8 C a v 1 Q N d i P N N j / u z X Y 0 / s / 8 f m b z 0 + f / z 5 D G u z e v R / F j z 9 b O q y X 3 v n y 8 w 9 S Z p H c 2 P 9 / 1 y u j x P u R b v s 5 0 W 1 7 / 6 / U b b J q + e X u Y H S 5 + + B H m o 1 F 7 5 v W b B D I k 6 e n 3 6 B r 9 u B n X 4 / t / J z o M U e q H + m u n x P d 9 f 9 m v + z 3 + r 3 P B v 2 y / f 9 3 + W W / 9 / 9 / t N f O k 6 8 I s V e n x 9 + c + j r 4 / 6 v 6 8 m j 1 I / 3 1 I / 3 V y Y w 9 / e r 3 H t J f e w / + 3 6 W / Y t 7 X 7 x 3 R X / 9 f y I 1 R u v q E h V J D o 9 P v f I N Z / o c / + 6 p M o + A f t i q L k u 1 H W u 1 H W q 2 z X v n 6 2 d P B i H L n / + 0 6 7 f + r P t m z s 9 c n L 0 + / O T 2 G m f r Z 1 m O 7 P 0 d 6 z J D q R 7 r r R 7 o r 1 F 3 3 n h 2 8 H I w o d / / f p L t + 7 4 j u + r 0 j u u v / E / 4 Y C e T v c 3 r 8 D S q v 3 Z 9 9 5 f V z l N Z 3 t P q R 9 v q R 9 g r z Y d 8 + f v A T g 9 r r 4 P / 9 8 W T M 9 / r / h P 7 6 4 m u n w + L q 6 4 e w K v n D 8 b 1 e 9 9 S X I d W P t N e P t F c n m / 9 7 / 1 5 f D G q v T / / f r 7 3 + P + t 9 d d M 6 r 9 9 8 c 4 7 Y v Z 9 9 T f Z z 5 Y j F y P Y j r f Y j r d b J h v 0 + P / F 7 D 2 b D / l 8 V U d 7 W I / u 9 / z + o 0 5 6 d v f j m d N r + z x u d x m T 7 k U 7 7 k U 7 r 6 L S H n 7 8 c 0 m n p g x / p N B a 9 n w 2 d 9 t T I 5 Z f f o D q 7 / 7 O v z n Z + z t R Z Q L E f a b I f a b J Q k + 1 9 + l N v h j T Z 3 s 6 P N B l L 3 c + K J v v m 9 N e n P / v 6 6 4 e T L I v q r x 9 p r R 9 p r Z 7 W e v n 7 f H t Q a 9 3 / f 5 P W + r 0 j W u v 3 j m i t / 4 / k y a w 3 8 e y b U 1 8 P f v b V 1 8 9 d N O k T 7 E d 6 7 E d 6 r K P H d r 5 8 O J g b e / j / J j 3 2 / z P v K 0 z y f P U N B p M H / 3 / W Z n 2 y / U i n / U i n d X J j z 1 4 P 6 r T 0 o K f T f q T T f l Z 0 G v X 6 z e m 0 h z 9 v d B q T 7 U c 6 7 U c 6 L d R p u / f 3 v j 3 o p + 3 9 S K e x 6 H 3 j O u 3 k i y / e / P 5 n b 0 6 / U O F 8 e X z 6 j e k 0 5 D b / f 6 r T o m T 7 k U 7 7 k U 7 r x J 7 f P d 4 d z K E d / K z p N K i b V y z r r 3 9 / + l t p f / R T 3 3 a 8 K p 8 Y v n 9 I z + 7 e P U v j Q D b e k N g e n Z R Z U 5 y P 0 1 l e p p 9 n T V u R b s P n p G P C r u 4 K A j 9 S q U 4 3 f H 7 6 z c W + e 7 s / f 3 Q q 0 + 1 H S v V H S j V Q q r / P T / 1 e n 3 5 7 M P j 9 k a P 4 s 6 T V X n 7 1 + z 9 5 + v m b s 2 8 u 5 N 3 b + / + t K v O I 9 S P 9 9 S P 9 F T q F 9 w 5 + 7 / t D + u v e z v / b 9 d f v H d F f v 8 / / B / T X s 7 P X J y 9 P X 9 3 7 5 t T X v f / f q i 9 H q x 9 p r x 9 p r 4 7 2 e v 5 7 P R z U X v + f 9 L 7 + v 6 C 9 b G z 0 z a m v / Z 9 9 9 b X 7 c 6 O + P G L 9 S H / 9 S H + F 0 e P v f b w z q L / 2 9 v / f F T / + 3 h E N F v O / f u / / L 2 k w y e 6 c 0 O R / c 7 r s / s + + L v v h u G K v b 0 i K C d n e V 6 v 9 S K v 9 / 1 i r P b 3 / E 5 + / + f z V w 7 1 B r + z + / 7 u 0 2 m 3 9 s v 8 v a D V K 9 H x x e v y a 9 N I 3 p 8 w + / d l X Z j 9 H j p l P r R / p s B / p s M 5 i 6 d M n T w c 9 s / 9 X a b C Y X / b / V Q 3 2 7 K s X J 7 / / 8 a v T Y 7 P q 9 u r z b 0 6 V P f j Z V 2 U / H L + s n y K L k e 1 H O u 1 H O i 3 U a b t P T n e H d N r u v f 8 3 6 b T / P 3 l l d i b e 7 P x e 9 x 4 + P f j i 5 I u f O P 3 2 T 5 x s U m y s V T x 9 h o E G f 7 N 2 w 6 f 8 0 + q 4 n d 2 f D R 1 3 9 B X E l n 9 z u o 6 x v U n B A U P v r w 3 K j s E Z Q b B q x w r D T V p L f w u 0 l f 7 2 s 6 2 l M M b g 7 / f U W T y L 3 c 9 u o c V g b D q f e F p t Z 1 C r 7 Q x r N W t p f h h a z f / L a T L 8 7 O m w n u T E d V i 6 + / + q 2 F J / h c b S X 6 G o 8 O v / S 1 U V 5 3 R e n 5 x 9 c y 7 X w c + G O s J v P 9 c u l y P V j 9 y s H 7 l Z Y V L / p 7 7 7 5 v m g i t r / f 5 G C + v + V m 3 X y 5 R c v i R u f f o O 5 r 4 c / + 9 p r 5 4 e i v f q J f E e s H + m v H + m v j v 5 6 8 J 3 h 1 N e n / 6 9 y s a I a 7 P e O a L D f 5 / 8 D G o w S 0 k + / P H n 9 5 v j N N 6 b C 7 u 3 8 7 K u w 3 Z 8 b F e Z T 6 0 c 6 7 E c 6 L F y C / P a 9 7 3 4 6 u A T 5 4 P 9 d O u z 3 v q U O + 7 3 / P 6 D D u p n o 1 1 8 9 6 S q z r 6 / M f l a S W / j t 5 z q a j J P t R 1 r t R 1 o t T O D v f H H v z W B k + f B n T a d B 3 b x i W X / 9 + 9 P f S v u j n / q 2 4 1 X 5 x P D 9 Q 3 p 2 9 + 5 Z G g e y 8 Y b E 9 u j 1 e p K e r 5 f T 4 h / 9 W 5 e k 1 v A R q Z e w l 7 v S 9 3 t q 0 / 8 / x b R d t f D m 7 B v U p n s / b 7 Q p k + 1 H 2 v R H 2 r S z H E r z M r g c + q M 8 3 c + S T j v 5 4 o s 3 v / / Z m 9 M v r H B + / s 3 p t H v / v 9 V p U b L 9 S K f 9 S K e F O u 3 e 3 v N B n Y Z 8 9 v 9 7 d N r v / f 8 f n c a L g V 8 9 + Q b 1 2 P 7 / X / W Y I 9 W P d N e P d F e 4 7 v B 7 f / F i e N 1 h 9 / 9 d O b v / H 3 l k I p K v v r l 1 0 3 v 3 / / + t v V 7 9 a N X 0 R 9 q r r 7 1 + 6 v j b g 7 m 5 + z / S X j 9 L 2 m v n 2 d n r k 5 8 8 f v X i G 1 w 0 / f R n X 3 / t / l D 0 V 2 / R 1 C P W j z T Y j z R Y Z 8 3 0 8 + 8 c D 6 6 Z P v x / v w b 7 v S M a 7 P f 5 f 5 c G u 8 v / U i f + k g r / a d S Z n Z g 3 O 7 / X v Y d P D 7 4 4 + e I n T r / 9 E y d O u 7 H m G W j 4 1 V O K r K S B t K P B H x 2 v 6 m q S z S r 9 B h 9 Z X b e z a 3 X d t 8 + e P j 1 9 o U T g u T h 6 R l N l f n / 8 k j L q L 3 j e n 7 4 6 e / 7 8 9 R t i 8 C N K N n h / P f 7 2 8 e u n p 8 + O v 3 r + 5 u m X J 1 8 J P 7 x 8 c f w F U / H J 8 e v T p y D c m + d f f v 5 l 8 I l V n / a T k y + / e H n 2 N H x N 9 b C 3 T v S z R s l n O y 9 3 h i m Z 7 u Z 1 + q Y u F l G S u o W V C E l f f x h J w e S d T / 6 / R m J L 4 g c 7 v 9 c G E u / R / w d J 7 P K 8 P y L x J i 5 + e r K / g c T 3 N n G x S 0 H 9 i M S b S P y d F 1 9 u I P F + u 4 G L X Z z 8 I x J v I P H n z 5 / H d P F i V R b Z t K i W e R O l r v P i f 2 T Z v I b f f n F 2 0 q f m 1 q t 8 t p 4 K N e 9 E y f n g R + Q M G j 6 5 / 1 N P X r z + 6 s V P P X 2 4 m T n T 7 d Q j b p S 2 B z + i b Z R V 3 7 z 5 b p + 2 L + u 8 W a / W e U O q 9 Y t q V p w X 0 y H n 9 u G P 6 B p r e L Z z P x I m e H T 9 j R N H 2 I 2 + 7 u 7 O j y g c p f C n 3 4 6 Y r C E K b 3 J 1 d 3 8 U o M U p f P I 6 E j 0 M U X i T p 7 u 7 M V 7 7 e U z h 7 + x H g o c h C m 9 y d H c 3 h m s / j y n 8 k 6 8 O o h R O T 6 o F R R C L o q m i D s P u x u D s 5 y 9 B v 7 O 3 9 3 q z w / C T x U W + b P P f O G m K Z b q q 8 + 0 p K J 0 v 8 j a v o 5 T e G K P 9 P K b 0 q 6 c R A 6 d s m 7 d F 3 C H b / V F M F m 3 4 / O z 3 i h s z Y U 9 R B M K z + s E g v / 4 o T I t T + M v v b j Z m 6 a x o V t W y m J S k H F Z Z n f m U / o 2 T W V 6 m q 7 z + R / / 6 a o C z f x T C x f X E 7 / 1 l h L O f 5 p f 5 8 i I b I O W P o r Z o w y / v P 4 1 E w 5 a U G + O 0 v R / F a d G G L x 8 8 i X h g j q a b I r O 9 H 0 V m 0 Y Y / 8 f B g k 8 h v j M X 2 f h S L R R u + e n J / o + x v i r 7 2 f h R 9 R R u + f n o v I v t e 5 C U O 1 0 y I H P W 2 9 n 4 U h 8 V J + 5 3 T z X H Y b 5 x c + o H Y R h r / K A K L N v y 9 j p 9 E F h 5 P f z q v p 0 X c s d r 7 f 0 f 0 9 f 8 6 S n 7 5 5 G U k H W 4 o u d m v + l G 4 F f e r n n 4 R U Q C W p B v d q h 9 F U n G 3 6 t n v F Y l g L U k 3 e l U / i q j i X t W 3 v 7 1 J 8 D c 5 V f d + F F D F L f 9 L N B x 2 V M X e 5 y B x P I F 1 7 0 d R l T Q 8 f f D 8 4 c m T 0 1 f P 7 n / 1 3 W e / z 8 7 O 7 / N 5 z K X K h r I o 9 3 4 U S c W N / d l u J H E t d N x o 6 u / 9 K I y K m / r v / D 4 R i V e C b j L 0 9 3 4 U P M U N / f O f j D j 2 S t B N Z v 7 e j y K l u J l / 8 W Z Y 5 D c a + R 8 F T H E j / 9 3 d S D b K + k 1 i 4 0 H f u I X / U c w U b f j m 4 G W E T V + v J + w t F d O i a q L k / F G 8 F G 3 4 1 e e / d 4 R J g x z U F 9 W s O C + m U A P H y 3 V W R s n 7 o 9 g p T t 4 X D y O x 0 / F l t p z m q f P 3 L y m L e k w J 1 Q n + w C L q y w 2 L q P s / C q r i t P 6 p 7 0 Z W V D b T e p C h 9 3 8 U Y E U b f v f V f i S / Y q l L p F 2 2 U X p + Y K B 1 + v 9 T e v 7 e n 5 9 G 4 o K f z O o i m x b / 6 N + 6 J D c h p e d 3 j 9 L 0 R 7 F W n K Z f v I z Y t I C m L 2 j t a j k g + T 8 K u O J U f b M b M W U 9 T n 2 V D 5 D 1 R 2 F X v O G X s S j B c 8 B S Y 6 y g W 4 e s V T c E O / q 9 H 9 / V 3 x y R X 3 8 Y k R l m + M n / V 4 n + 7 O V P R R a 1 j x e r E s x c L X P y E e C G r T a 5 Y d 0 A 7 U c 0 3 0 z z 7 x 5 H U r M + z T c m F v e 7 A d y P y L 2 R 3 J / v f R F x L A J y b 0 o 7 7 n c D u h + R e z O 5 D 2 J x d E D u T U n J + 9 2 Y 7 u h H 5 N 5 I 7 m f R u N o n 9 6 a U 5 f 1 u d P c j 7 t 5 M 7 l e x 0 H r r V T 5 b T 4 X c d 2 4 2 m P e 7 I e C P i L 6 Z 6 L / P Q S T U D o i + 0 W L e 7 4 a H P 6 L 3 R n p / e / 8 7 k R W l k N 6 b T O b 9 b u D 4 I 3 p v p v f x T 0 a c 8 J D e G 2 1 m N 6 L 8 E b 0 3 0 / v b n 0 Y c 8 J D e G 4 3 m j 4 L M 9 6 L 3 2 c t n s R X q O k 9 P q g X F 9 I u 8 L R D V 3 5 T v v / + j Q P O 9 6 P 6 d g 1 h K 9 T 1 p / q N o 8 / 1 o f h p L u f o 0 T 5 9 W 0 5 S Y v 7 w F 8 X 8 U e 7 4 f 8 Z / H M r M h w 7 / K 2 3 w p W j 5 G 8 k 9 / F H + + F 8 m f n z z c 6 Z P c W w a 7 i d 4 / C k D f j 9 4 / + S B i S + P 0 3 h g U f f q j I P S 9 C P / F 7 n c i T v o A 4 T d F R 5 / + K B p 9 P 8 I / + C r i r Q 8 Q f l O Y 9 O m P w t L 3 I / z p p x H 3 c Y D w m + K l T 3 8 U n 7 4 X 4 X + v / Z 1 I v s s S P t 2 l B e Z P P 4 1 S u h e Z / j 4 / o v Q m F v + 9 v h 3 x 1 r u U 3 m x H e 0 H p j 0 i + k e Q / 8 S b i o / d I v t G C 9 m L S H 5 F 8 I 8 l / b 6 y q 3 U j y j b a z F 4 n + i O S b S P 7 i 3 u e / 1 y 1 I v s l q P u h F o j 8 i + U a S P 3 y 9 0 W p + u v M b J y b 1 U i z S Z 2 d R o v f C 0 R 8 R f W M 4 e v / 3 3 q j N 7 + / / x s l W + i 4 9 X b Z 1 N s v S W Z 5 + M S 2 y O 1 H a 9 y J S p v 2 P a D / E 8 J / f 2 5 Q K G K T 9 R n f m Q S 8 6 / d E k b J y E L 5 5 t S g s M T 8 I m B + d B L 1 L 9 0 S R s n I T X P 7 E p R T A 8 C Z t c n g e 9 q P V H k 7 B x E n 5 q b 1 O 6 Y H g S N j p B P w p o b 5 6 E 1 7 / P d 7 + 7 8 3 u / + e 6 z n / r q 8 9 / n 6 d N N k 3 D 8 0 + u m z d N X + b T M 0 r 2 d 3 f t 3 9 x 4 + f B i l / I / i 2 p s p 7 y d t P n 8 R M Q S n P 5 3 X 0 4 I I / 2 U t y 3 2 r D c t 9 D 3 p x 7 Y / y Z J t I / u V X X 0 Y 8 / k G S b / Z 7 f r T U + l 6 0 f / n d 5 x H H f 5 j 2 m 9 y d g 1 6 k + y P a b 6 L 9 T / w + Z x F 3 Z 5 j 2 m 7 y c g x + t v 7 4 X 7 V / v f P 5 e O m e T c 3 P w o y X Y 9 6 L 9 7 / V T z y P Z e k N 7 l 9 1 J n 2 X T K L 1 7 s e 2 P 6 L 1 R x + / 8 V C T B E K f 3 R u N 6 8 K O V 1 / c i / E / s / d 6 R h P 0 A 4 T d a 1 h + t v L 4 X 4 V / t f x W J Y Q c I v 9 G s 9 u L W H x F + o 1 n 9 9 N X t V c 1 G m 9 o L W 3 9 E + E j C 4 P d + + O l P P X / z 7 d P f 5 + n D 4 x c b / B n N F 9 z b M b F t S O x b B a z P f n 4 T 2 3 d g 3 h x H 1 M v L j F M z 5 D b + x s m m 9 M D B j 0 L U 9 6 L 2 l 1 + e / F 6 3 o / Z G 5 + X h j 6 L T 9 y L 7 y 5 9 4 G P H S o 2 T f 5 L o 8 / F F g + l 5 k / 4 n X S B / e i u y b H J e H P 4 p J 3 4 v s r 7 7 a v 6 2 S 2 e S 2 P P x R a D p E d t 9 t w T r H w d O d 1 7 / P l 9 9 9 + u C W Z L 9 v G o Y E / 1 F I e l u C P / x 9 H n z n 4 d O f O I 3 k v a I E v 8 X i 0 s M f x a W 3 p f 6 T n d / n / q f f f v P 7 v C f 1 o 1 T / U V B 6 M 9 W 9 h m / 2 n k b W O F 6 v J + l n 6 R f V r D h P t 1 N a W o 2 S + l Z h 6 A d G R m j 7 / 1 X S P t u J m c 0 6 b 9 a r d d 6 Q p T x e 1 d U k Q + x / v F x n Z Z T I t w o / f 8 T P l u j P T 2 J a 5 D 2 J 3 o t C f 5 8 f c b Z P 5 F c v I p m s 4 8 W q L L J p U S 3 z R o m b N x H y 7 u 7 8 K N p 8 P 3 L / 3 j 8 V C X t u T + 5 e l P k j b v Y b f r V / / L p P 3 q 1 X + W w 9 F f L e 2 U z f H 4 W T 7 0 f v 4 y 9 O P o j e v T j y R / w c 0 P f N 8 5 2 I u r j M l t M c v l y + Z J f 6 k r Q G e 3 j F V D 3 s 9 O V w Z n Z 3 p x d M / o j q f s O f / B Q r w O 9 L 9 S E X Z H e n F z 3 + i N w B u U + + E 3 N B h N x 2 a Q f U N v 7 e z R z e C x 1 / R P K A 5 G c / G X N D I i R / H 7 X S C y J / R P S A 6 C 8 / j T g n G / l 8 W K f 0 Y s k f 0 T q g 9 U + e R R y T G x h 8 m N o / C i I 3 U v u 7 u 2 8 i a 2 j W U v 7 G y a u 8 z Z c u v m l j R N 7 9 U S j 5 f k Q / u B 9 J 9 z n 3 Z P c 3 T t J P P x 0 m 9 6 1 C y R + R 2 5 L 7 9 N s R V 9 y R + 9 O d 3 z h 5 W k 1 T y k + V x S J 9 d j Z M + V 6 Q + S P K b 6 T 8 7 / U 6 k n x 1 l L + / / x s n W + m 7 9 H T Z 1 t k s I z 8 l / W J a Z H e G J + B W U e e P J s B O w O / 9 L O K g W y v 6 Z T 1 M 6 V 6 k e U u d P o D I q 3 0 A l B Y / H 2 f i 9 z 7 e i 7 i Q Z i a c A k q f Z d N 0 a E 6 + 7 m L m j + Y k P i f 3 X v m x l J L b X + w c m o h e k P r z Z y L u 8 r 8 n X 7 7 A l 8 + O T / D j + M 0 r m q F X v / f v z 7 8 o 5 X / q 2 R c n J 8 e f P 3 N T c f z m z a s z 8 8 0 X X 7 1 4 f N d 8 I l + 9 k R 6 V y j s b V y g A 8 + W r 1 0 S w P e l A / n j 8 7 P n x m 9 9 f I T y + 6 / 0 l 3 7 z u f G f + N t / S Z P G 4 5 K + n Z 6 / w 1 + n z N 1 8 J d e 7 a Q X Z H u / P s q x c n v z 9 N 4 X F 8 v K d f f P n 0 5 9 V 4 X 3 / 1 5 O f V e N + c / b w Z 7 8 7 L r 3 7 / Z y 9 + f 5 r h 3 Z 8 v Q + Y p P n 3 9 5 u f L e N 0 U 3 / v 5 M m S a 4 u d n L 4 5 P f r 6 M 1 0 3 x 3 s + X I d M U k w y / O v 5 5 N N 6 T 0 2 d n P 2 8 c L b A 0 z e / v f / b z y 9 V 6 9 v P K l X 7 5 6 s v T 1 z + P x q t B 1 O b x b s o M / H 9 t v K e n 3 3 n 1 z c z v 5 / / f G O / L V 5 9 / M + P 9 / 8 D 8 k v R + / u r 4 i x t N c C / T H h 3 w 7 v / 7 B 0 w T f H b y 5 c m X N w 1 4 U 7 7 V j X H n / / 0 D f n 3 6 6 i d f n r 6 6 U U X 3 V r H + v z v D x N S / z 0 3 D 7 a 1 c / H 9 V g p 9 9 8 e r 0 z Y 3 s / P 8 1 h f X 0 9 e 9 / 8 u b V g A H + 6 t X p T e M 9 + P / T e J + e v r x h v P 0 1 6 P + X q 6 u N 4 3 1 5 Y 2 5 2 9 / 8 v / P z / 3 x B p 4 w y / P j m 7 a b w P / 3 8 y X s 7 r n P z / M j u 7 a Y p P T 2 7 2 s R 7 8 / 2 S 8 b o r / f 5 e 6 G x z y k 6 9 e q 0 f y T Q z 4 / / 2 G y c 3 x / + 8 y 8 I N D h m v 5 + u W N Y v y z N N 6 f q / F i x f 7 / V 0 N 2 o t o b 8 f M v P 3 / 9 + 9 w Y G t 5 u t P 8 v C Q 0 3 j P b 1 l 1 + 9 o u G + O f 3 i / 1 c j f v b F z 6 P p H R 4 s h Y W v T l + c 3 B j 5 3 2 6 4 / 2 + x S I P D f X b 2 + u Q n j 1 + 9 + I b W w P / f M r 2 k n n / e D 5 Y + J q D f k B H 6 f / d Y 4 V U 9 / f 9 n c L R p t P / / i x P i o / 3 / a W p j I O R 9 9 u W L b 2 a o / 2 8 x P o N D P X n 2 D Z n Z / 9 d P 6 u / 9 7 M 2 N i v j T W w 3 1 / 9 2 K + P j l 7 / / l s 9 9 f v v x 5 M b G n z 5 7 9 / 2 q k p G 2 f P P 3 8 z d m A J j 4 5 f v H 0 + G Z W / v / T k E 9 / 7 5 c / r 4 a M w T 5 7 9 e U 3 F N z + f 2 T A / z 9 b + j z 5 4 o s 3 v / 8 Z Z y h i S u v s 5 M s X J z + f B n x 6 8 v k 3 l G L + / 8 p 4 v / z 8 5 8 t 4 2 S y d I R z a / / k 3 5 P s / X 4 b M a u v N y a s b F 3 z / / z T g 0 z d n P 6 / E + P + H c f 6 t p P j / X 1 m r W w 3 5 / 1 / L n z f J 8 c v j / 3 / F D 7 e a 4 v 9 / Z S d v s k 2 v f h 7 Z p h 2 a 4 G 9 u a e F n d 7 z f x H g 5 V 0 k j + f k 0 3 r O T n 0 c M L U r 6 8 9 N v K P H + / 5 I B k y b + 4 v T 4 9 V e v T i M i / D n 5 W p + / / O L / b / 7 W x j E / / / L z 1 7 / P N y T F / y / J w 2 8 c 7 8 m r L 3 5 / + o y g / / w Z 8 9 P / n 6 Y v N 4 / 4 / 2 f 5 y 4 3 j x f L 3 y 2 / Q / / j / A l f L m E + O 3 / z / a s g n X 3 5 B g / r y a W z E z 8 5 e n / z k 8 a s X P 3 9 G / O W z 3 + f 0 + N U 3 M 9 z / l 8 j x p u H i u + M X v 8 8 3 M 9 6 d / w + M 9 9 u v 3 v z + x y c n b 7 4 h B + T / C 0 P + 8 q s X b 1 7 9 / J n i / x / 6 l 5 u G + / r L r 1 7 R e D m i + n k y 5 C + f v T x 9 9 f + z 3 O W G 4 b 4 6 f f P q S + r o G z L C / x 8 Y 8 c n v f 0 K B 8 f G r 0 2 9 o v f j / A 1 q L e f q b G e 3 / B y T 4 5 K t X r 0 5 f n P x / 2 i j d 5 X 9 P T p / L 2 P k X a b d L q H + 5 9 + b F d z 7 / 8 u m b n d / r 3 s O n B 1 + c f P E T z 7 5 7 T G b J N N G 2 e z z M 6 G P a 7 h 0 9 f v H V F 7 / / 6 5 P j 5 6 d A A X + 8 f H V 6 w o h 9 8 f L b x 6 / P X j P V n p / + 5 O l z / H b y 1 R d f 8 S / P j z / / / N U R Q M l v j 1 / Q k s A r U F F + 8 Y m 1 + 4 1 R 6 / c 6 e 4 o X 8 E P o 9 R 5 E e v m d 3 + f k m y Q S 1 J 3 9 / Z s k 1 8 G D / z e Q 6 7 s H 9 z / / J s n 1 j f P U w / 8 3 U O n z v S + + U a b 6 p q m 0 + 3 N G p N e / z 3 e / u / N 7 H z z d e f 3 7 f P n d p w / + X 0 y k g 7 2 f M y J 5 n P T V i 4 f f q L z 9 r K m n 3 R 1 D k 5 9 T e v 3 e b 3 b / P 0 K v 3 Y O f M 3 q J E D 7 Z + X 3 u f / r t N 7 / P / j d J r 2 9 a C P d / z o j k M d V 3 9 v a + U U f q Z 4 2 p 9 n 5 u r d + T + z / 1 h J B 6 8 V N P H / 4 c k + u W 5 P q 5 s 4 M e d / 3 k y X e + / P 8 E u X Z 3 / l 8 h j b / X 5 y 8 O v k l 6 f c M q 6 9 P / d 9 j B e 6 / + 3 0 y k 3 d 3 7 / 2 + g 0 s u d n / p G R e 8 b p t K n n / 6 / g U i / 1 0 8 9 / + 7 / m 4 n 0 / w p O e r 3 z + f + b / a h P / 1 + h u b 9 7 + m 0 7 8 P 8 X E m n 3 / x 0 Z q W d P T / 7 f z E r / r 0 h D v f j 8 3 v + b F f f + w f 8 b i P T V T 3 3 3 9 / o m i f S z 6 F j + v y L X 8 v L B k 4 P / T 9 D r / v 8 7 T N 7 L n / h G k 5 w / a + R 6 8 P 8 K N + r L + 0 + / U T f q Z 4 1 c 9 3 / u f A V J T L 3 5 7 r O f + u r z 3 + f p 0 2 + S X N + w h r / / / w q N 9 R P P f / I b N Y M / a z x 1 8 P 8 K g / h 7 f 3 7 6 j W q s b 5 i n d n f / X 6 G o X r 1 4 Y 0 f + T V D p Z 4 + p f m 6 z n S Y 5 f P r y G 9 X r 3 z B T 3 f t / R Y 7 z 8 4 P f + / / N R N r 9 f 4 U 2 / 7 3 e H P + / W T 0 9 + H 9 F 5 P f d V / v f a H T 8 s 6 a d d v / f w V R f / F 7 f / n + z 5 O 3 / v 4 J I z 3 / y w T f q R 3 3 D R L r 3 / w r J + 4 m 9 3 9 s O / P + F R P r 0 / x V E + s 6 r p 9 8 o k X 7 W 1 N O 9 e / 9 v I N e r b 3 / 7 8 / 9 P k O v B / y t S L p + / + m Y z e t + w C P 6 / Y 1 H v 2 9 / + 9 P X / m 4 n 0 / 4 q o 5 d n L n z r 4 f z G R / l 9 B o y 9 O P / 1 / s z + + b w j x c 0 q k 5 y c P 7 c D / X 0 i k e / + v S K l 8 5 / n u N 2 r m v m k i / b / C C f / J T w / + P x L Z 7 f y / w 3 f a / + r / z e r p 0 4 P / N x D p 9 M v d / z e H v / + v Y K T P f 5 9 v V v C + Y R r 9 v y Q r / u T + N 8 p I P 2 v a 6 f 7 / K + L g n 3 z 5 6 e v / T 5 B r d + f / F e z 1 5 v n J / 5 t l 8 O H P 3 Z q w R 6 Q X P 7 X 3 / 2 a L d / / / F U s t 3 z 7 + y Y P / F x N p 9 + D / D U Q 6 + / T b d u D f B J F + 1 t T T 3 v 8 r B O / b + 9 / 5 f 3 N + f P f / F S b v 7 O W z / z c T a e / / H U T 6 y V f / b 9 Z O e / + v 0 E 4 / 8 f r B / 5 u J d G A I 8 X N K p L O d + 9 9 o T u V n T 4 X / v y L I e / X V / v + b l w 4 O / l / h O 7 1 4 / R P f a N T y D R P p / v 8 r B O / L r 7 7 8 f 3 O o 8 u n / K z j p i 5 9 4 8 4 1 q p 2 + Y S P v / r 9 B J n z 9 / b g f + T R D p Z 0 2 F 7 / 6 / w g t / 9 p 0 X / 2 9 2 M A / + 3 0 C j r 4 6 / + H 9 z i u D h / y u I 9 O L e 5 / 9 v 9 g X 2 7 3 8 w k b 4 B I r 1 5 t v P / Z i I 9 / H + F B n / z e / / U w f + b i f T / i t z u 6 + 9 + s 2 t Q P 2 t m 7 q E h y c 8 p u c 5 O X n + j g v e z R q 6 9 / 1 f o q Z 9 4 e P D / D X L d / 3 + F M D 5 7 8 P 9 q t f 7 / C h o 9 v / 9 7 / 7 8 6 e P l / R S b z J 5 7 9 X t 9 o G P y z J n c P f m 6 C l 9 M H z x + e P D l 9 9 e z + V 9 9 9 9 v v s 7 P w + n 3 + j q Z W f N X I d / L 9 C q 3 + x + 5 2 D b 5 J c 3 7 A I 3 j v 4 O S P S 6 9 / n 9 3 7 4 6 U 8 9 f / P t 0 9 / n 6 c P j F x 9 K J H T u / n h / 9 j r 6 8 c d 3 5 Z c h A v 5 4 V C g N k X 7 4 B P Q V / d n v 9 Y 0 a w 1 t T 7 b 3 5 7 e d G h 3 W F 8 s F X 3 6 g O + 6 a F 8 u H / G 4 j 0 8 u k X 3 y i R f t Z 4 6 s H / K y L o L 7 8 8 + U Z F 8 B v m K S x E / t w T 6 c U X z w 7 + X 0 y k / f 9 X C N 5 P n v 3 k N 0 q k n z X B 2 9 3 5 f 4 W L 9 X s d P / l G 0 + k / a / R 6 8 P + K F a 2 f / M m z b z S z / r N G r t 2 d / 1 f E h 6 d f P f 1 G g + i f N X r 9 v 8 K 1 + u 7 v / e w b F c Z v W M P v 7 v 6 / w l n 4 7 u / 1 z a Z G v 3 E q / b 9 C U 7 3 + z u n / N z z Q + / + v 8 B u + f P L y / x u K 6 s H e / x v I 9 e b g p S X B / 6 v J 9 f D / F e R 6 / R S 5 o v 8 P k O v + w f 8 b y P X F 7 3 3 / G + W u b 1 j D 7 / + / w l l 4 t n O T C P 6 c E u n / F d H N 7 3 2 8 9 4 0 a w W + Y R r u 7 / 6 / g p J f f f f 6 N 2 r 5 v m E q f / r 9 D h X / 6 6 v / N v v m n P 3 d e 1 O v f 5 7 v f 3 f m 9 H / 4 + D 7 7 z 8 O l P n H 6 j y 4 H f M J E O / l 8 R v 7 z Z + / 9 I T P z w / x W B z J t X L / 7 f L H g P / 1 9 h 6 L 5 z c P q N 5 q W + Y S L d M 4 T 4 O S X S 5 8 8 e f q O C 9 w 0 T 6 f 8 d 2 Z X v / N 5 f f q P Z l Z 8 1 7 X T / / x X k + u 7 u m + 9 + k + T 6 p n l q 5 + D / D V T 6 v f Z 3 / t / s F + z / v 8 L Q v f y J h / 9 v Z q U H P 3 c e p p + n O 9 u 1 A / 8 m i P S z p p 4 O P v 1 / A 7 l + 7 y 9 e f q M 8 9 b N G r t 3 d / 1 e s V 3 3 7 z T e r z n / W 6 L X 3 / 4 q g + C d + n 7 P / N + d X P v 1 / h Y v w 1 e e / 9 / 8 3 e O r h / y s 0 / L d f / H 9 k i X 3 P k O T n l F x n 3 9 n / R l 2 r n z 1 y / b / C I H 7 1 5 r k l w f + r y b W 7 8 / 8 K p / S r / e P / N 2 v 4 h / + v 8 B p e P H z 9 j c r g N 0 y k / f 9 X S N 7 z L 7 / 7 j R L p Z 0 3 y 7 v 0 s Z / T u 8 r 9 P X 5 0 9 Z 9 R e v n r 5 5 u z 0 t Z D x 5 a s v X 5 6 + k r / x s j 6 I e Q D k J 4 + f f 8 V E u N t t v O H l v d 0 P e X n v Q 1 6 + 9 w E v 3 / u Q M e 9 / 0 M s f Q r B 9 n 2 D M c f L b + w H x C f c 1 g e z u + D Q A q 3 8 d G B 9 A i t 2 d g B S 7 X w + B D 2 C h X S S d P h i B + x + C w K c f 8 v K D k A k i O v V k 9 + D 3 G h 7 V J t g H H 4 L Y w w C x r 4 X A b i g m X w / G h / D G 7 j f A G 3 s f o G V 2 P 0 Q t 7 3 2 4 b O / v f D i M + 9 8 A j I f f D A y f m E c v V 2 1 W j k 8 v 6 v F 2 e p K t x u l 1 e l I t p + P 0 8 7 Y a f z 3 4 H a 0 e k c X T b / / E y d e C H X D R 1 x x / w E x f B 8 Y u / r 9 x j C + f n 7 z 4 f V 5 g L f b r w L 6 Z f l 9 P l w F 2 Y C x / 6 t k X v / 8 X J z t f Q 6 A B K l A K B t T v f / o T O 1 8 X o G 8 9 j o 6 f / u R 3 j n + f F 8 f / 6 J / 8 9 Y D 5 1 g T A v n z 9 / M s v j r 8 e r N C 4 3 L 9 L / 9 v b Q R L 2 6 w D z r Y k H L N 3 d e b R / 7 9 H 9 T 7 8 e 1 M D M f M M y v d t x q g O s D x 7 t 7 T 3 a / X o z v h t I E U 3 S 0 y 9 f H X / + 9 S a p Y y Q d h j v 3 H + 3 e f 3 R / 7 + t B D Z 3 L / U f 7 N N g N F v i u j V B + 8 v i V Q O Z f f v L F 8 R d H P / X 6 9 y c x O T k 9 4 S H i E 7 S i a E h M K v / 2 + C d f H r 9 6 T U E P Z R L M r 4 9 f n 3 3 + A l b v y 5 d v O E D 7 8 r v 6 4 / c / / b 3 5 k 2 + f f f 5 t 8 9 N 8 R l + / 8 X / 7 / Z + f v o D z 4 P 3 F 7 b W R / m p a + X 8 + / v a r 3 8 e 0 4 t 9 s I / f X 4 5 / U F j 9 p P o G q t n 8 8 / v b p 8 5 e / / / F P H p 9 x H P f F 6 8 9 / / x c c 9 p 1 9 + e Q 7 L 7 4 4 2 j n 5 4 o s 3 v / / Z m 9 M v f n + P R v o l j / T k C w 4 a 7 1 q S R m l 7 8 v T 0 5 Y 9 o G 9 L W 0 e V r 0 P O r V 6 c / o m e E n k y X r 0 P P J 5 / / i J 4 x e o I u X 4 O e x 5 8 / + x E 9 I / R k u r w H P X f O f v 9 n Z 6 9 P y J D d u 5 m e Z x 1 6 4 g P + C a o e P X n z + C 5 + o t s j d g b x i y H x k f z N v z K h j t h 0 8 2 + W 5 k f m I 2 n 2 / y n y 7 z g 6 v g / 9 X / / + J 1 9 + 8 Z L + e X r 6 + + / e P A V d l g 6 n 4 P Q n v C m A e 9 i d A / O R m 4 Y 4 y x 9 9 X k 2 K v F 5 W 6 W n T Z r M q n e X p 6 2 p Z 1 Z m h f j A n + / + v n R R L 3 P e b l Z e / / 7 P f 5 / T 4 1 c 3 z 8 f L 2 8 y G h Q z A f 9 q O b 5 u P / S z I g h H s f a r / + / Z 9 8 9 f p H v n G X m E S U 3 / / 4 1 e l N D v F d / v f b x y + e P k f a A G G K / v H 4 9 Z v j N / S D 3 O u X v / 9 P f H X 6 6 v c B h t 5 f j 8 9 e v P z q z R c k H k e I d e 0 f s k b z / O w 1 o 0 9 O z + / 1 U / j l 9 a u n g E d c e 7 C 9 s 7 u 9 R 8 G n f v S Y F N / Z T x 7 9 X p Q b k N 8 e v / 7 q J a 0 6 v X 7 9 + 3 9 B / x x / f m q h v f 7 q C 1 4 W + v 1 f f f n d 1 5 j l 8 A P 3 / c m X z 7 / 6 4 k X Y x H z 2 + C u i 8 + 9 / f P L m 7 C d P + T 1 A 9 j / T h v j 4 x e 9 / 8 m 1 i m t / / y x f S A 9 b E O h / 5 b e j N 1 y B T 9 y N q 8 / r N q 6 9 O 7 E v c J v z I b 8 M v 7 Q Z t B M 7 r b 9 M s P v 2 S 1 t 1 O X 7 w B f d 4 c M 1 0 6 H x 8 r u c K P i d r S G j B 3 f 3 / D K s P J t r C h v L e n f 3 q A X p 8 9 / f 3 P X j w 9 / b 2 Z 3 N 3 P T C t a b c S H z 8 5 + b 4 y + / 6 E B 7 9 4 0 z f z P T K s I t O D D x x g s Z u H F 5 7 K q e f p d O 9 d n L y g U P 3 v K v 7 5 + 8 e U b W k 1 8 8 / u w N B 4 T k X 4 f m o 9 X Z 8 j x + X + i D 2 b W u 6 9 O i f 9 f k 8 Y l D v 3 q O f 3 8 4 v j 3 / v 0 Z C / m F / / 5 9 z N + / D 7 8 h D S n o f / Y M / b z 6 i Z / E D 5 G j b h Z M p Y t / / P 4 / e X b 6 X d u U / / r 9 3 6 g + O n v x j G b 2 i Z + R s x 8 9 / v z 0 x V c v z j g p M Z h m t G 0 e 0 4 L p c 5 K x L 8 7 e p O + a 4 t G y K D / 7 q K 3 X + U f o h 4 X n 7 E t W U P b 3 x 6 + h P 8 6 O n z w / P f n y x Z v j s x e n p E f s r 7 + / K J E I t D e / 9 + 9 P 7 H N 6 8 g b v / / 6 c E n k d a X Y 3 C v / u q 9 e v f v / X v z c z M h H z J 8 + e 8 q d v O h 9 I U g B J G m m O v 4 g D s k V + B O K d P j + F P P z + 5 G z x Z 4 + D P A 7 S C f r B 7 6 M v 8 W d k X k 7 N C 2 f L W f 4 O 9 J B f H v 9 k V q 5 7 s O V D a h N C j H X w 6 p R 4 + 9 X v f / z 6 9 e k X T 5 7 / P p u 7 e X L 6 7 n g 2 K 5 a j 9 C f z u i m q 5 W c P 7 u 3 s j P m / U X q y L t t 1 n X + 2 z N d t n Z W j 9 O V 6 U h b T 3 y u / f l O 9 z Z e f P d z 7 N P t 0 b + d g O j m / f z D J J l 8 H z 5 P n h O l m J K f V Y t x Q F n F S j P N 2 n C 2 z 8 v o H e T 3 O g P i Y R n D W 5 o s 3 + b v 2 t M w X + b J 9 L y x Y s s 1 s b 0 b j 6 U v 2 i 2 8 P + / T 3 J l m 4 x V z T E H 6 v 7 + z v P / x 9 d p + d 7 J 2 8 I H n 6 6 v d 5 + v z l T 7 3 Y / X 1 e v l e H r 7 9 9 e v p m c 1 + U k 8 2 b q k n f I S 9 b t O u y 0 t x s v m q r 9 + r s 6 S k 8 n 9 / / 9 b e P X 9 4 8 v p O v f u + v P n / z 9 D s 7 P 3 X 2 + b 3 j s 4 M n J 9 / e 3 X n + 7 e + c v F e X r 6 C A N / f 1 u x 3 / b r u P 8 M 9 7 A X 5 6 9 v r l 8 + P f 5 / e H W j 4 7 I Z 3 / / M 3 p q 8 1 c y Y r l P U A / + / L V F 8 d v v l m Y U B K / v 2 q J G 2 T o F 5 b t 4 e / x b l G m l y r n H + 2 O d z 5 K 8 + W 0 I i m 6 + O y j d X u + v f v p R 7 / H L 7 x o D 3 / j B M 1 f 5 3 W R l c U P c k + 2 U g K x b B 6 R j v 3 s o 3 n b r h 7 d v X t 1 d T W + u j e u 6 g t K d + / s 3 v 2 9 v 3 j + e j r P F 9 l 2 s a S Q j T j r I / v W 7 O a 3 P h I E 0 h Q o v L l e 5 f j 7 J z N C Z V L m + O y u + d A 0 O n v K T V T D / / 4 m Z O K 2 8 p 1 p y a Q w r 5 M W 4 y b B h z L y u 7 G h 4 + v 3 Y q r j r 9 5 8 + e x s s z y 6 G b / d j J 8 c v 4 T J f G + Y d 3 2 z Z C y f m L L N d u 3 + z 6 J d u / 9 e 5 P y R X X s f L P 5 f Y t f u / V 4 U o / 3 k m 9 f f / f a T h 1 9 9 9 / f Z 2 X / + e 7 9 4 + u z + / u / z X h 3 + v 9 e u / d S r n 9 x 9 e X r 6 / C e + 8 / D b p 6 8 / P 3 j z U y 9 + 8 t V 3 H 8 J 2 v E e X t 7 F r p 7 B r p z + y a z 9 / 7 Z p L k P / I t H 0 T p u 3 T n 0 X T 9 u l 7 k f N H p u 1 9 s P h / i W m 7 / 3 u d f P n s J 7 9 6 + v T b u 1 9 8 / n u d P v v 8 9 / m 9 v / z y 2 e l P v H i v D v / f a 9 q e 3 d v / 9 r e / f L p 7 c P z V g 9 / 7 9 / 7 i 9 O m 3 T 7 + 7 / 2 T 3 2 e / 9 X l 3 e x r S d w L S d / M i 0 / f / K t B G D A l S 7 w b R R h v / N 2 R e n N 1 k z j O V H 5 i x q z j 5 / R R n q X d P H N 2 T H D N D 3 I O D P T w P 2 e V 3 M 3 q v 7 n 0 3 L 9 e b 4 1 e e n k r w e 6 G L 3 Q 7 t 4 D + P 4 5 c O z k 4 P 9 J z / 1 H d J z v / f O d 7 / z e / 3 e L / e + f f / 3 / v T 9 O r y F c T x f k 8 D n 7 w f 2 v c z g l 0 + f v X 7 9 5 L v P d 7 / z + c n L n / j u w c G T v W d v 9 p + / / v K 9 u r y N G Z T M 5 V e / 2 6 f v l + 8 X K 7 U Z 9 v v Z 7 N d f v q J V D 1 o q u U F G 3 g / q t 8 9 O X x 2 / O v n 2 7 / O z C Z r N K y 3 3 0 q r d 6 T d j u F 8 c / + T Z 5 8 c 3 q v L 3 x P i b t D h g g K + e H 3 + T 6 D 1 9 d U a L e E + / / O 4 L W S 1 + 8 Z P f C K b f P v v 8 2 8 / p / 2 9 k J f r N V 6 9 O a d X 5 i y f f l O N G 8 3 5 K K v 7 k 9 P f / v U 5 / n 2 + U w 0 6 e n 7 0 k d + X 0 9 9 4 M 9 N l X z 5 + / P v u p 0 6 8 F + w a z + b V g H z / 9 z l e v I R F n F J Q e v z r d z C W 3 p T P 9 + Y Z W X b + O e x P l t i 9 / f 1 o 4 / / 2 f k l v 8 5 v T 3 f / E V G O J W z v d 7 T u L r b 3 / 5 X W L m L 9 j 3 J m f l 9 x e D Z j 7 5 R s b y + q u X p H 5 e v / 7 9 X 9 D q + n N a a X 5 / s H f 1 1 4 g H e N e u R r / + u V g y f 2 O w Z N R e v f q 9 g 7 9 p 8 f / 4 + X M i 8 d N X x 5 / / / o Q A / f L l S x r e U x o s O u L p 4 l 9 o W J 2 X I 8 B I m o m S 3 6 Z Z O n v z + 3 9 x f P L q S w 8 W I 3 k L I P T n C a b D j O b r o / P F 6 f M 3 F s z r r w 9 H h e f 3 / + 6 X r 3 6 v J 1 9 + + X t 9 j U E Z y n z 3 C d Q z f f X i 6 6 N j 0 P j 9 X 5 J P T H 8 8 / R r 4 v P n 2 K X z C 9 3 7 v 9 Z v f h x K b X 7 0 k p 5 U M A a l A f x g 7 7 z W M N + R h v S b t / 4 F g f h y W z r 3 M f 7 7 X 6 1 + F r 3 / 1 X q + / + P L 3 / + 6 r Y 1 9 k b k t J O 4 u d 4 d / 2 f V a N 9 I E T l A / g c I v M m c 9 M R w 8 O d u + / e f F 7 f f G T e y + + / P L z r 5 4 8 O T j + z v 7 x 6 z f v R 6 O X Z M X I l n 3 Y N C s Q f u P r U I u U P H z k 1 2 c v P i c G p k B K J f J r w P r q 9 S l J M O V B y L S T W / Q l 6 c 7 b K q m 7 o T 4 G J L J l b H 7 I N B 9 B m T + + 2 / 3 0 s Y w d U d z R T z 3 7 4 v f / 4 m R n 9 / c / / Q l K 6 D y + 6 3 2 l z d 7 8 P i 9 P j 3 5 i n d f X 5 l v + 5 D G y b i K y R z R 9 3 l 9 o 9 v n p 0 f 8 D f v / K Z M 5 + A g A = < / A p p l i c a t i o n > 
</file>

<file path=customXml/itemProps1.xml><?xml version="1.0" encoding="utf-8"?>
<ds:datastoreItem xmlns:ds="http://schemas.openxmlformats.org/officeDocument/2006/customXml" ds:itemID="{7763950B-8689-4E16-AF3D-5F26DB89098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Balance_Pres</vt:lpstr>
      <vt:lpstr>Ing_Detallado_LDF</vt:lpstr>
      <vt:lpstr>Ingre_Rubro</vt:lpstr>
      <vt:lpstr>Ing_Fuente_Fin</vt:lpstr>
      <vt:lpstr>Ingresos</vt:lpstr>
      <vt:lpstr>fuente1</vt:lpstr>
      <vt:lpstr>Ing_Detallado_LDF!Área_de_impresión</vt:lpstr>
      <vt:lpstr>Ing_Fuente_Fin!Área_de_impresión</vt:lpstr>
      <vt:lpstr>Ingre_Rubro!Área_de_impresión</vt:lpstr>
      <vt:lpstr>Balance_Pres!Títulos_a_imprimir</vt:lpstr>
      <vt:lpstr>Ing_Detallado_LDF!Títulos_a_imprimir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1.- Por Clasificador Objeto del Gasto (Capítulo y Concepto)</dc:title>
  <dc:creator>javier.ynoquio</dc:creator>
  <cp:lastModifiedBy>PC08</cp:lastModifiedBy>
  <cp:lastPrinted>2018-01-30T23:29:35Z</cp:lastPrinted>
  <dcterms:created xsi:type="dcterms:W3CDTF">2016-02-19T00:12:22Z</dcterms:created>
  <dcterms:modified xsi:type="dcterms:W3CDTF">2018-01-31T05:17:37Z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Egresos x Capitulo y Concepto</vt:lpwstr>
  </property>
  <property fmtid="{D5CDD505-2E9C-101B-9397-08002B2CF9AE}" pid="3" name="BExAnalyzer_OldName">
    <vt:lpwstr>1.- Por Clasificador Objeto del Gasto (Capítulo y Concepto).xlsx</vt:lpwstr>
  </property>
</Properties>
</file>